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11040" activeTab="1"/>
  </bookViews>
  <sheets>
    <sheet name="Смета" sheetId="1" r:id="rId1"/>
    <sheet name="Рассчет тарифа на содержание" sheetId="2" r:id="rId2"/>
  </sheets>
  <externalReferences>
    <externalReference r:id="rId3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"/>
  <c r="G77" i="1" l="1"/>
  <c r="F77"/>
  <c r="E17" l="1"/>
  <c r="F17"/>
  <c r="H17"/>
  <c r="E86"/>
  <c r="H86"/>
  <c r="G53"/>
  <c r="D55"/>
  <c r="D56"/>
  <c r="D53" s="1"/>
  <c r="C12" i="2" s="1"/>
  <c r="D57" i="1"/>
  <c r="F53"/>
  <c r="D77"/>
  <c r="E53"/>
  <c r="H53"/>
  <c r="G79" l="1"/>
  <c r="G16"/>
  <c r="G17" s="1"/>
  <c r="D16" l="1"/>
  <c r="D17" s="1"/>
  <c r="D49"/>
  <c r="C22" i="2" l="1"/>
  <c r="F22" s="1"/>
  <c r="F81" i="1" l="1"/>
  <c r="G81"/>
  <c r="H81"/>
  <c r="E84"/>
  <c r="H75"/>
  <c r="E81" l="1"/>
  <c r="D84"/>
  <c r="F14"/>
  <c r="G14"/>
  <c r="H14"/>
  <c r="E14"/>
  <c r="E54" l="1"/>
  <c r="G32"/>
  <c r="F32"/>
  <c r="E32"/>
  <c r="F48" l="1"/>
  <c r="G48"/>
  <c r="H48"/>
  <c r="E48"/>
  <c r="F42"/>
  <c r="G42"/>
  <c r="H42"/>
  <c r="E42"/>
  <c r="F47"/>
  <c r="G47"/>
  <c r="H47"/>
  <c r="E47"/>
  <c r="E26"/>
  <c r="D26" s="1"/>
  <c r="F40" l="1"/>
  <c r="G40"/>
  <c r="H40"/>
  <c r="E40"/>
  <c r="D40" l="1"/>
  <c r="F37"/>
  <c r="G37"/>
  <c r="H37"/>
  <c r="E37"/>
  <c r="F35"/>
  <c r="G35"/>
  <c r="H35"/>
  <c r="E35"/>
  <c r="F34"/>
  <c r="G34"/>
  <c r="H34"/>
  <c r="E34"/>
  <c r="H72" l="1"/>
  <c r="G72"/>
  <c r="F72"/>
  <c r="E72"/>
  <c r="H70"/>
  <c r="G70"/>
  <c r="F70"/>
  <c r="E70"/>
  <c r="H64"/>
  <c r="G64"/>
  <c r="F64"/>
  <c r="H61"/>
  <c r="G61"/>
  <c r="F61"/>
  <c r="H60"/>
  <c r="G60"/>
  <c r="F60"/>
  <c r="E64"/>
  <c r="E61"/>
  <c r="E60"/>
  <c r="E59" s="1"/>
  <c r="H38"/>
  <c r="G38"/>
  <c r="F38"/>
  <c r="H36"/>
  <c r="G36"/>
  <c r="F36"/>
  <c r="H25"/>
  <c r="G25"/>
  <c r="F25"/>
  <c r="H33"/>
  <c r="G33"/>
  <c r="F33"/>
  <c r="H24"/>
  <c r="G24"/>
  <c r="F24"/>
  <c r="E38"/>
  <c r="E36"/>
  <c r="E33"/>
  <c r="E25"/>
  <c r="E24"/>
  <c r="D48" l="1"/>
  <c r="D15"/>
  <c r="D14"/>
  <c r="D83"/>
  <c r="D82"/>
  <c r="D79"/>
  <c r="D19" i="2" s="1"/>
  <c r="F19" s="1"/>
  <c r="D75" i="1"/>
  <c r="D72"/>
  <c r="C16" i="2" s="1"/>
  <c r="D16" s="1"/>
  <c r="F16" s="1"/>
  <c r="D70" i="1"/>
  <c r="C15" i="2" s="1"/>
  <c r="D15" s="1"/>
  <c r="F15" s="1"/>
  <c r="D61" i="1"/>
  <c r="D63"/>
  <c r="D64"/>
  <c r="D65"/>
  <c r="D60"/>
  <c r="D54"/>
  <c r="D32"/>
  <c r="D42"/>
  <c r="D43"/>
  <c r="D44"/>
  <c r="D45"/>
  <c r="D46"/>
  <c r="D28" s="1"/>
  <c r="D86" s="1"/>
  <c r="D89" s="1"/>
  <c r="D47"/>
  <c r="D24"/>
  <c r="D33"/>
  <c r="D34"/>
  <c r="D25"/>
  <c r="D35"/>
  <c r="D36"/>
  <c r="D37"/>
  <c r="D38"/>
  <c r="D62"/>
  <c r="D39"/>
  <c r="D51"/>
  <c r="D81" l="1"/>
  <c r="C20" i="2" s="1"/>
  <c r="D20" s="1"/>
  <c r="F20" s="1"/>
  <c r="E74" i="1"/>
  <c r="F74"/>
  <c r="G74"/>
  <c r="H74"/>
  <c r="D74"/>
  <c r="C17" i="2" s="1"/>
  <c r="D17" s="1"/>
  <c r="F17" s="1"/>
  <c r="F59" i="1"/>
  <c r="G59"/>
  <c r="H59"/>
  <c r="D59"/>
  <c r="C13" i="2" s="1"/>
  <c r="D13" s="1"/>
  <c r="F13" s="1"/>
  <c r="D12"/>
  <c r="F12" s="1"/>
  <c r="H21" i="1" l="1"/>
  <c r="E21"/>
  <c r="G21"/>
  <c r="F21"/>
  <c r="D21" l="1"/>
  <c r="F22" l="1"/>
  <c r="E22"/>
  <c r="H22"/>
  <c r="G22"/>
  <c r="G23"/>
  <c r="F23"/>
  <c r="H23"/>
  <c r="E23"/>
  <c r="E20" l="1"/>
  <c r="H20"/>
  <c r="F20"/>
  <c r="G20"/>
  <c r="D22"/>
  <c r="D23"/>
  <c r="D20" l="1"/>
  <c r="H13" l="1"/>
  <c r="F13"/>
  <c r="G13"/>
  <c r="E13"/>
  <c r="D13" l="1"/>
  <c r="E68" l="1"/>
  <c r="H68"/>
  <c r="H67" s="1"/>
  <c r="G68"/>
  <c r="G67" s="1"/>
  <c r="F68"/>
  <c r="F67" s="1"/>
  <c r="D68" l="1"/>
  <c r="D67" s="1"/>
  <c r="C14" i="2" s="1"/>
  <c r="D14" s="1"/>
  <c r="F14" s="1"/>
  <c r="E67" i="1"/>
  <c r="H29" l="1"/>
  <c r="G29"/>
  <c r="F29"/>
  <c r="E29"/>
  <c r="D29" l="1"/>
  <c r="H31" l="1"/>
  <c r="G31"/>
  <c r="F31"/>
  <c r="E31"/>
  <c r="H30"/>
  <c r="G30"/>
  <c r="F30"/>
  <c r="E30"/>
  <c r="D30" l="1"/>
  <c r="D31"/>
  <c r="G41" l="1"/>
  <c r="H41"/>
  <c r="F41"/>
  <c r="E41"/>
  <c r="E28" l="1"/>
  <c r="E89" s="1"/>
  <c r="E91" s="1"/>
  <c r="F28"/>
  <c r="F86" s="1"/>
  <c r="F89" s="1"/>
  <c r="F91" s="1"/>
  <c r="H28"/>
  <c r="H89" s="1"/>
  <c r="H91" s="1"/>
  <c r="G28"/>
  <c r="D41"/>
  <c r="G86" l="1"/>
  <c r="G89" s="1"/>
  <c r="G91" s="1"/>
  <c r="C11" i="2"/>
  <c r="D11" s="1"/>
  <c r="F11" s="1"/>
  <c r="C10"/>
  <c r="D10" l="1"/>
  <c r="F10" l="1"/>
  <c r="D91" i="1"/>
  <c r="C18" i="2" l="1"/>
  <c r="C21" s="1"/>
  <c r="D18" l="1"/>
  <c r="F18" s="1"/>
  <c r="F21" s="1"/>
  <c r="D21" l="1"/>
</calcChain>
</file>

<file path=xl/sharedStrings.xml><?xml version="1.0" encoding="utf-8"?>
<sst xmlns="http://schemas.openxmlformats.org/spreadsheetml/2006/main" count="193" uniqueCount="159">
  <si>
    <t>доходов и расходов</t>
  </si>
  <si>
    <t>№ п/п</t>
  </si>
  <si>
    <t>Наименование статей</t>
  </si>
  <si>
    <t>Единица измерения</t>
  </si>
  <si>
    <t>Год</t>
  </si>
  <si>
    <t>в том числе по кварталам</t>
  </si>
  <si>
    <t>I</t>
  </si>
  <si>
    <t>II</t>
  </si>
  <si>
    <t>III</t>
  </si>
  <si>
    <t>IV</t>
  </si>
  <si>
    <t xml:space="preserve">ДОХОДЫ: </t>
  </si>
  <si>
    <t xml:space="preserve"> </t>
  </si>
  <si>
    <t>1.</t>
  </si>
  <si>
    <t>Платежи за жилищно-коммунальные услуги, всего</t>
  </si>
  <si>
    <t>2.</t>
  </si>
  <si>
    <t>3.</t>
  </si>
  <si>
    <t xml:space="preserve">Внереализационные доходы </t>
  </si>
  <si>
    <r>
      <t>ВСЕГО ДОХОДОВ:</t>
    </r>
    <r>
      <rPr>
        <sz val="11"/>
        <rFont val="Times New Roman"/>
        <family val="1"/>
        <charset val="204"/>
      </rPr>
      <t xml:space="preserve"> (сумма стр. 1, 2, 3)</t>
    </r>
  </si>
  <si>
    <t>РАСХОДЫ:</t>
  </si>
  <si>
    <t>5.</t>
  </si>
  <si>
    <t>5.1.</t>
  </si>
  <si>
    <t>Фонд ЗП по штату АУР</t>
  </si>
  <si>
    <t>5.2.</t>
  </si>
  <si>
    <t>Резерв на оплату отпусков</t>
  </si>
  <si>
    <t>5.3.</t>
  </si>
  <si>
    <t>Прочие расходы (канцтовары ,почта и пр.)</t>
  </si>
  <si>
    <t>5.5.</t>
  </si>
  <si>
    <t>Обслуж.компьютера и материалы</t>
  </si>
  <si>
    <t>5.6.</t>
  </si>
  <si>
    <t>Сотовая связь</t>
  </si>
  <si>
    <t>Услуги банка</t>
  </si>
  <si>
    <t>Сайт, хостинг</t>
  </si>
  <si>
    <t>Обучение, освидетельствование</t>
  </si>
  <si>
    <t>Страхование лифтов</t>
  </si>
  <si>
    <t>Специальная оценка условий труда</t>
  </si>
  <si>
    <t>Прочие непредвиденные расходы</t>
  </si>
  <si>
    <t>6.</t>
  </si>
  <si>
    <t>6.1.</t>
  </si>
  <si>
    <t>6.2.</t>
  </si>
  <si>
    <t>6.3.</t>
  </si>
  <si>
    <t>6.4.</t>
  </si>
  <si>
    <t>6.5.</t>
  </si>
  <si>
    <t>6.6.</t>
  </si>
  <si>
    <t>6.7.</t>
  </si>
  <si>
    <t>6.8.</t>
  </si>
  <si>
    <t>6.9.</t>
  </si>
  <si>
    <t>6.10.</t>
  </si>
  <si>
    <t>6.11.</t>
  </si>
  <si>
    <t>6.12.</t>
  </si>
  <si>
    <t>7.</t>
  </si>
  <si>
    <t>7.1.</t>
  </si>
  <si>
    <t>8.</t>
  </si>
  <si>
    <t>8.1.</t>
  </si>
  <si>
    <t>8.2.</t>
  </si>
  <si>
    <t>Фонд ремонта</t>
  </si>
  <si>
    <t>8.3.</t>
  </si>
  <si>
    <t>8.4.</t>
  </si>
  <si>
    <t>Диспетчеризация</t>
  </si>
  <si>
    <t>8.5.</t>
  </si>
  <si>
    <t>Модернизация</t>
  </si>
  <si>
    <t>9.</t>
  </si>
  <si>
    <t>9.1.</t>
  </si>
  <si>
    <t>10.</t>
  </si>
  <si>
    <t>11.</t>
  </si>
  <si>
    <t>12.</t>
  </si>
  <si>
    <t>13.</t>
  </si>
  <si>
    <t>14.</t>
  </si>
  <si>
    <t>Резервный фонд</t>
  </si>
  <si>
    <t>15.</t>
  </si>
  <si>
    <t>Меры по организации безопасности и правопорядка</t>
  </si>
  <si>
    <t>16.</t>
  </si>
  <si>
    <t>Благоустройство</t>
  </si>
  <si>
    <t>Посадочный материал</t>
  </si>
  <si>
    <t>Работы по установке ограждений</t>
  </si>
  <si>
    <t>17.</t>
  </si>
  <si>
    <r>
      <t xml:space="preserve">ИТОГО РАСХОДОВ </t>
    </r>
    <r>
      <rPr>
        <sz val="11"/>
        <rFont val="Times New Roman"/>
        <family val="1"/>
        <charset val="204"/>
      </rPr>
      <t>(сумма стр. 5, 6, 7, 8, 9, 10, 11, 12, 13, 14, 15, 16)</t>
    </r>
  </si>
  <si>
    <t>18.</t>
  </si>
  <si>
    <t>Прочие операционные расходы</t>
  </si>
  <si>
    <t>19.</t>
  </si>
  <si>
    <t>Внереализационные расходы</t>
  </si>
  <si>
    <t>20.</t>
  </si>
  <si>
    <r>
      <t xml:space="preserve">ВСЕГО РАСХОДОВ: </t>
    </r>
    <r>
      <rPr>
        <sz val="11"/>
        <rFont val="Times New Roman"/>
        <family val="1"/>
        <charset val="204"/>
      </rPr>
      <t>(сумма стр. 17, 18, 19)</t>
    </r>
  </si>
  <si>
    <r>
      <t>РЕЗУЛЬТАТ</t>
    </r>
    <r>
      <rPr>
        <sz val="11"/>
        <rFont val="Times New Roman"/>
        <family val="1"/>
        <charset val="204"/>
      </rPr>
      <t xml:space="preserve"> + прибыль, - убыток </t>
    </r>
  </si>
  <si>
    <t>Председатель правления _________________</t>
  </si>
  <si>
    <t>Главный бухгалтер_______________________</t>
  </si>
  <si>
    <t>Расчет ежемесячного тарифа на содержание общего имущества и обслуживание</t>
  </si>
  <si>
    <t>Годовые расходы</t>
  </si>
  <si>
    <t>Ежемесячные расходы</t>
  </si>
  <si>
    <t>Общая площадь помещений</t>
  </si>
  <si>
    <t>Размер ежемесячного тарифа</t>
  </si>
  <si>
    <t>Материалы</t>
  </si>
  <si>
    <t>Спецодежда</t>
  </si>
  <si>
    <t>Дератизация</t>
  </si>
  <si>
    <t>Замер сопротивления изоляции</t>
  </si>
  <si>
    <t>Юридические услуги, абонентское обслуживание</t>
  </si>
  <si>
    <t>Обслуживание слаботочных сетей</t>
  </si>
  <si>
    <t>Фонд ЗП</t>
  </si>
  <si>
    <t>Договор на обслуживание газового оборудования</t>
  </si>
  <si>
    <t>на 2018 год</t>
  </si>
  <si>
    <t>товарищества собственников недвижимости (жилья) "Южная Поляна 27"</t>
  </si>
  <si>
    <r>
      <t xml:space="preserve">Услуги </t>
    </r>
    <r>
      <rPr>
        <b/>
        <sz val="11"/>
        <rFont val="Times New Roman"/>
        <family val="1"/>
        <charset val="204"/>
      </rPr>
      <t>КВАДО</t>
    </r>
    <r>
      <rPr>
        <sz val="11"/>
        <rFont val="Times New Roman"/>
        <family val="1"/>
        <charset val="204"/>
      </rPr>
      <t xml:space="preserve"> (квитанции)</t>
    </r>
  </si>
  <si>
    <r>
      <t xml:space="preserve">Электронная отчётность </t>
    </r>
    <r>
      <rPr>
        <b/>
        <sz val="11"/>
        <rFont val="Times New Roman"/>
        <family val="1"/>
        <charset val="204"/>
      </rPr>
      <t>СБИС</t>
    </r>
  </si>
  <si>
    <r>
      <t xml:space="preserve">Обслуживание домофонов </t>
    </r>
    <r>
      <rPr>
        <b/>
        <sz val="11"/>
        <rFont val="Times New Roman"/>
        <family val="1"/>
        <charset val="204"/>
      </rPr>
      <t>ВДК</t>
    </r>
  </si>
  <si>
    <r>
      <t xml:space="preserve">Обслуживание ИТП </t>
    </r>
    <r>
      <rPr>
        <b/>
        <sz val="11"/>
        <rFont val="Times New Roman"/>
        <family val="1"/>
        <charset val="204"/>
      </rPr>
      <t xml:space="preserve">КВАНТ </t>
    </r>
  </si>
  <si>
    <t>товарищества собственников жилья "Южная Поляна 27"</t>
  </si>
  <si>
    <t>Прохоренко А.В.</t>
  </si>
  <si>
    <t>Крутень Е.В.</t>
  </si>
  <si>
    <t>Проект сметы</t>
  </si>
  <si>
    <t>на 2018 год начиная с 01 мая 2018 года</t>
  </si>
  <si>
    <t>Услуги по управлению МКД, всего:</t>
  </si>
  <si>
    <t>Содержание общего имущества МКД, всего:</t>
  </si>
  <si>
    <t>Текущий ремонт МКД, всего:</t>
  </si>
  <si>
    <t>Содержание и ремонт лифта, всего:</t>
  </si>
  <si>
    <t>Вывоз мусора, всего:</t>
  </si>
  <si>
    <t>ОДН (ХВС, ГВС, ЭЭ)</t>
  </si>
  <si>
    <t>7.2.</t>
  </si>
  <si>
    <t>Смета текущего ремонта</t>
  </si>
  <si>
    <t>Уборка и содержание придомовой территории, всего:</t>
  </si>
  <si>
    <t>Уборка МОП, всего:</t>
  </si>
  <si>
    <t>ВДГО, всего:</t>
  </si>
  <si>
    <t>12.1.</t>
  </si>
  <si>
    <r>
      <t xml:space="preserve">Прочие операционные доходы </t>
    </r>
    <r>
      <rPr>
        <b/>
        <sz val="11"/>
        <rFont val="Times New Roman"/>
        <family val="1"/>
        <charset val="204"/>
      </rPr>
      <t>(Всевнет, МТС, ВестКолл)</t>
    </r>
  </si>
  <si>
    <t>Налоги на ЗП и отпуск. АУР (30,2%)</t>
  </si>
  <si>
    <t>5.4.</t>
  </si>
  <si>
    <r>
      <t xml:space="preserve">Связь, коммуникации, сети </t>
    </r>
    <r>
      <rPr>
        <b/>
        <sz val="11"/>
        <rFont val="Times New Roman"/>
        <family val="1"/>
        <charset val="204"/>
      </rPr>
      <t xml:space="preserve">Всевнет </t>
    </r>
    <r>
      <rPr>
        <sz val="11"/>
        <rFont val="Times New Roman"/>
        <family val="1"/>
        <charset val="204"/>
      </rPr>
      <t>(взаимозачёт)</t>
    </r>
  </si>
  <si>
    <t>Налоги на ЗП и отпуск. (30,2%)</t>
  </si>
  <si>
    <r>
      <t xml:space="preserve">Возврат займа </t>
    </r>
    <r>
      <rPr>
        <b/>
        <sz val="11"/>
        <rFont val="Times New Roman"/>
        <family val="1"/>
        <charset val="204"/>
      </rPr>
      <t>ООО "Гарантъ"</t>
    </r>
  </si>
  <si>
    <t>Установка доп.пластин на ТО ГВС</t>
  </si>
  <si>
    <t>Подготовка к отопительному сезону</t>
  </si>
  <si>
    <t>Лицензирование, аккредитация</t>
  </si>
  <si>
    <r>
      <t xml:space="preserve">Договор на обслуживание лифтов - </t>
    </r>
    <r>
      <rPr>
        <b/>
        <sz val="11"/>
        <rFont val="Times New Roman"/>
        <family val="1"/>
        <charset val="204"/>
      </rPr>
      <t>Лифтремонт</t>
    </r>
  </si>
  <si>
    <t>Договор на вывоз ТБО</t>
  </si>
  <si>
    <t>Закрытие Пункта вывоза ТБО</t>
  </si>
  <si>
    <t>6.13.</t>
  </si>
  <si>
    <t>6.14.</t>
  </si>
  <si>
    <t>6.15.</t>
  </si>
  <si>
    <t>6.16.</t>
  </si>
  <si>
    <t>6.17.</t>
  </si>
  <si>
    <t>6.18.</t>
  </si>
  <si>
    <t>6.19.</t>
  </si>
  <si>
    <t>6.20.</t>
  </si>
  <si>
    <t>6.21.</t>
  </si>
  <si>
    <t>6.23.</t>
  </si>
  <si>
    <t>6.24.</t>
  </si>
  <si>
    <t>8.6.</t>
  </si>
  <si>
    <t>Обустройство системы видеонаблюдения*</t>
  </si>
  <si>
    <t>Меры по организации безопасности и правопорядка*</t>
  </si>
  <si>
    <t>*</t>
  </si>
  <si>
    <t>Строка "Обустройство видеонаблюдения" действует в случае принятия решения о дополнительных взносах на Общем собрании собственников</t>
  </si>
  <si>
    <t>Разовый взнос на Обустройство видеонаблюдения*</t>
  </si>
  <si>
    <t>Утверждаемый тариф</t>
  </si>
  <si>
    <t>Плановый текущий ремонт</t>
  </si>
  <si>
    <t>7.3.</t>
  </si>
  <si>
    <t>7.4.</t>
  </si>
  <si>
    <t>15.1.</t>
  </si>
  <si>
    <t>15.2.</t>
  </si>
  <si>
    <t>15.3.</t>
  </si>
  <si>
    <t>Промывка ТО ГВС и Отопление</t>
  </si>
  <si>
    <t>Работы по замене металлических труб ГВС на пластиковые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</si>
</sst>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5"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rgb="FF000000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medium">
        <color indexed="64"/>
      </right>
      <top/>
      <bottom style="double">
        <color rgb="FF000000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vertical="center" wrapText="1"/>
    </xf>
    <xf numFmtId="1" fontId="2" fillId="0" borderId="11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16" fontId="2" fillId="0" borderId="10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vertical="center" wrapText="1"/>
    </xf>
    <xf numFmtId="1" fontId="1" fillId="0" borderId="11" xfId="0" applyNumberFormat="1" applyFont="1" applyBorder="1" applyAlignment="1">
      <alignment vertical="center"/>
    </xf>
    <xf numFmtId="164" fontId="0" fillId="0" borderId="0" xfId="0" applyNumberFormat="1"/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vertical="center" wrapText="1"/>
    </xf>
    <xf numFmtId="1" fontId="2" fillId="0" borderId="14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2" fontId="2" fillId="0" borderId="11" xfId="0" applyNumberFormat="1" applyFont="1" applyBorder="1" applyAlignment="1">
      <alignment vertical="center"/>
    </xf>
    <xf numFmtId="2" fontId="1" fillId="0" borderId="1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" fontId="2" fillId="0" borderId="17" xfId="0" applyNumberFormat="1" applyFont="1" applyBorder="1" applyAlignment="1">
      <alignment vertical="center"/>
    </xf>
    <xf numFmtId="0" fontId="0" fillId="0" borderId="16" xfId="0" applyBorder="1"/>
    <xf numFmtId="1" fontId="2" fillId="0" borderId="18" xfId="0" applyNumberFormat="1" applyFont="1" applyBorder="1" applyAlignment="1">
      <alignment vertical="center"/>
    </xf>
    <xf numFmtId="1" fontId="2" fillId="0" borderId="19" xfId="0" applyNumberFormat="1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1" fontId="1" fillId="0" borderId="19" xfId="0" applyNumberFormat="1" applyFont="1" applyBorder="1" applyAlignment="1">
      <alignment vertical="center"/>
    </xf>
    <xf numFmtId="2" fontId="0" fillId="0" borderId="0" xfId="0" applyNumberFormat="1"/>
    <xf numFmtId="1" fontId="2" fillId="0" borderId="0" xfId="0" applyNumberFormat="1" applyFont="1" applyFill="1" applyBorder="1" applyAlignment="1">
      <alignment vertical="center"/>
    </xf>
    <xf numFmtId="10" fontId="0" fillId="0" borderId="0" xfId="1" applyNumberFormat="1" applyFont="1"/>
    <xf numFmtId="10" fontId="0" fillId="0" borderId="0" xfId="0" applyNumberFormat="1"/>
    <xf numFmtId="1" fontId="2" fillId="0" borderId="0" xfId="0" applyNumberFormat="1" applyFont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lipanova2.BP/Downloads/&#1053;&#1086;&#1074;&#1072;&#1103;%20&#1057;&#1084;&#1077;&#1090;&#1072;-&#1087;&#1088;&#1086;&#1077;&#1082;&#1090;%2027%20&#1089;%20&#1088;&#1072;&#1079;&#1085;&#1080;&#1094;&#1077;&#108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ножители ФОТ, отпуск,..."/>
      <sheetName val="смета доходов"/>
      <sheetName val="Штатное расписание"/>
      <sheetName val="Уборка МОП"/>
      <sheetName val="Сод.придом.тер."/>
      <sheetName val="Диспетчер"/>
      <sheetName val="Сод.общ.имущ."/>
      <sheetName val="Вывоз мусора"/>
      <sheetName val="АУР"/>
      <sheetName val="Лифт"/>
      <sheetName val="ВДГО"/>
      <sheetName val="Новая Смета-проект 27 с разнице"/>
    </sheetNames>
    <definedNames>
      <definedName name="month_tbo" refersTo="='Вывоз мусора'!$C$9"/>
    </definedNames>
    <sheetDataSet>
      <sheetData sheetId="0"/>
      <sheetData sheetId="1">
        <row r="17">
          <cell r="H17">
            <v>122400</v>
          </cell>
        </row>
      </sheetData>
      <sheetData sheetId="2">
        <row r="9">
          <cell r="C9" t="str">
            <v>3</v>
          </cell>
        </row>
      </sheetData>
      <sheetData sheetId="3">
        <row r="9">
          <cell r="C9">
            <v>9</v>
          </cell>
        </row>
        <row r="19">
          <cell r="G19">
            <v>15500</v>
          </cell>
        </row>
      </sheetData>
      <sheetData sheetId="4">
        <row r="9">
          <cell r="C9">
            <v>7</v>
          </cell>
        </row>
        <row r="22">
          <cell r="G22">
            <v>15500</v>
          </cell>
        </row>
      </sheetData>
      <sheetData sheetId="5">
        <row r="17">
          <cell r="G17">
            <v>34000</v>
          </cell>
        </row>
        <row r="18">
          <cell r="G18">
            <v>2707.62</v>
          </cell>
        </row>
        <row r="19">
          <cell r="G19">
            <v>11085.7</v>
          </cell>
        </row>
      </sheetData>
      <sheetData sheetId="6">
        <row r="9">
          <cell r="C9">
            <v>3</v>
          </cell>
        </row>
        <row r="15">
          <cell r="G15">
            <v>22500</v>
          </cell>
        </row>
        <row r="16">
          <cell r="G16">
            <v>1791.81</v>
          </cell>
        </row>
        <row r="17">
          <cell r="G17">
            <v>7336.13</v>
          </cell>
        </row>
        <row r="19">
          <cell r="G19">
            <v>6000</v>
          </cell>
        </row>
        <row r="20">
          <cell r="G20">
            <v>3620</v>
          </cell>
        </row>
        <row r="21">
          <cell r="G21">
            <v>300000</v>
          </cell>
        </row>
        <row r="22">
          <cell r="G22">
            <v>10000</v>
          </cell>
        </row>
        <row r="23">
          <cell r="G23">
            <v>0</v>
          </cell>
        </row>
      </sheetData>
      <sheetData sheetId="7">
        <row r="9">
          <cell r="C9">
            <v>15000</v>
          </cell>
        </row>
        <row r="12">
          <cell r="D12">
            <v>138000</v>
          </cell>
        </row>
      </sheetData>
      <sheetData sheetId="8">
        <row r="9">
          <cell r="C9">
            <v>1</v>
          </cell>
        </row>
        <row r="18">
          <cell r="G18">
            <v>54000</v>
          </cell>
        </row>
        <row r="19">
          <cell r="G19">
            <v>4300.34</v>
          </cell>
        </row>
        <row r="20">
          <cell r="G20">
            <v>17606.7</v>
          </cell>
        </row>
        <row r="21">
          <cell r="G21">
            <v>5800</v>
          </cell>
        </row>
        <row r="22">
          <cell r="G22">
            <v>2000</v>
          </cell>
        </row>
        <row r="23">
          <cell r="G23">
            <v>1600</v>
          </cell>
        </row>
        <row r="24">
          <cell r="G24">
            <v>2850</v>
          </cell>
        </row>
        <row r="25">
          <cell r="G25">
            <v>2880</v>
          </cell>
        </row>
        <row r="26">
          <cell r="G26">
            <v>4300</v>
          </cell>
        </row>
        <row r="27">
          <cell r="G27">
            <v>0</v>
          </cell>
        </row>
        <row r="29">
          <cell r="G29">
            <v>7000</v>
          </cell>
        </row>
        <row r="30">
          <cell r="G30">
            <v>1500</v>
          </cell>
        </row>
        <row r="31">
          <cell r="G31">
            <v>2000</v>
          </cell>
        </row>
      </sheetData>
      <sheetData sheetId="9">
        <row r="6">
          <cell r="C6">
            <v>14700</v>
          </cell>
        </row>
        <row r="7">
          <cell r="C7">
            <v>2940</v>
          </cell>
        </row>
        <row r="9">
          <cell r="C9">
            <v>0</v>
          </cell>
        </row>
      </sheetData>
      <sheetData sheetId="10">
        <row r="13">
          <cell r="D13">
            <v>10487.98</v>
          </cell>
        </row>
      </sheetData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98"/>
  <sheetViews>
    <sheetView topLeftCell="A82" workbookViewId="0">
      <selection activeCell="L56" sqref="L56"/>
    </sheetView>
  </sheetViews>
  <sheetFormatPr defaultRowHeight="12.75"/>
  <cols>
    <col min="2" max="2" width="46.42578125" customWidth="1"/>
    <col min="3" max="3" width="12.85546875" customWidth="1"/>
    <col min="4" max="4" width="15.7109375" bestFit="1" customWidth="1"/>
    <col min="5" max="5" width="12.140625" bestFit="1" customWidth="1"/>
    <col min="6" max="6" width="13.85546875" customWidth="1"/>
    <col min="7" max="7" width="12.42578125" customWidth="1"/>
    <col min="8" max="8" width="13.140625" customWidth="1"/>
    <col min="11" max="11" width="14.5703125" bestFit="1" customWidth="1"/>
  </cols>
  <sheetData>
    <row r="3" spans="1:9" ht="14.25">
      <c r="A3" s="43" t="s">
        <v>107</v>
      </c>
      <c r="B3" s="43"/>
      <c r="C3" s="43"/>
      <c r="D3" s="43"/>
      <c r="E3" s="43"/>
      <c r="F3" s="43"/>
      <c r="G3" s="43"/>
      <c r="H3" s="43"/>
    </row>
    <row r="4" spans="1:9" ht="15">
      <c r="A4" s="44" t="s">
        <v>0</v>
      </c>
      <c r="B4" s="44"/>
      <c r="C4" s="44"/>
      <c r="D4" s="44"/>
      <c r="E4" s="44"/>
      <c r="F4" s="44"/>
      <c r="G4" s="44"/>
      <c r="H4" s="44"/>
    </row>
    <row r="5" spans="1:9" ht="15">
      <c r="A5" s="44" t="s">
        <v>99</v>
      </c>
      <c r="B5" s="44"/>
      <c r="C5" s="44"/>
      <c r="D5" s="44"/>
      <c r="E5" s="44"/>
      <c r="F5" s="44"/>
      <c r="G5" s="44"/>
      <c r="H5" s="44"/>
    </row>
    <row r="6" spans="1:9" ht="15">
      <c r="A6" s="44" t="s">
        <v>108</v>
      </c>
      <c r="B6" s="44"/>
      <c r="C6" s="44"/>
      <c r="D6" s="44"/>
      <c r="E6" s="44"/>
      <c r="F6" s="44"/>
      <c r="G6" s="44"/>
      <c r="H6" s="44"/>
    </row>
    <row r="7" spans="1:9" ht="15.75" thickBot="1">
      <c r="A7" s="1"/>
      <c r="B7" s="1"/>
      <c r="C7" s="1"/>
      <c r="D7" s="1"/>
      <c r="E7" s="1"/>
      <c r="F7" s="1"/>
      <c r="G7" s="1"/>
      <c r="H7" s="1"/>
    </row>
    <row r="8" spans="1:9" ht="29.25" customHeight="1" thickTop="1" thickBot="1">
      <c r="A8" s="45" t="s">
        <v>1</v>
      </c>
      <c r="B8" s="47" t="s">
        <v>2</v>
      </c>
      <c r="C8" s="49" t="s">
        <v>3</v>
      </c>
      <c r="D8" s="47" t="s">
        <v>4</v>
      </c>
      <c r="E8" s="51" t="s">
        <v>5</v>
      </c>
      <c r="F8" s="52"/>
      <c r="G8" s="52"/>
      <c r="H8" s="53"/>
    </row>
    <row r="9" spans="1:9" ht="15.75" thickBot="1">
      <c r="A9" s="46"/>
      <c r="B9" s="48"/>
      <c r="C9" s="50"/>
      <c r="D9" s="48"/>
      <c r="E9" s="2" t="s">
        <v>6</v>
      </c>
      <c r="F9" s="2" t="s">
        <v>7</v>
      </c>
      <c r="G9" s="2" t="s">
        <v>8</v>
      </c>
      <c r="H9" s="3" t="s">
        <v>9</v>
      </c>
    </row>
    <row r="10" spans="1:9" ht="16.5" thickTop="1" thickBot="1">
      <c r="A10" s="4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  <c r="G10" s="5">
        <v>7</v>
      </c>
      <c r="H10" s="6">
        <v>8</v>
      </c>
    </row>
    <row r="11" spans="1:9" ht="15.75" thickBot="1">
      <c r="A11" s="4"/>
      <c r="B11" s="7" t="s">
        <v>10</v>
      </c>
      <c r="C11" s="7"/>
      <c r="D11" s="5"/>
      <c r="E11" s="5"/>
      <c r="F11" s="5"/>
      <c r="G11" s="5"/>
      <c r="H11" s="6"/>
    </row>
    <row r="12" spans="1:9" ht="15.75" thickBot="1">
      <c r="A12" s="4" t="s">
        <v>11</v>
      </c>
      <c r="B12" s="8" t="s">
        <v>11</v>
      </c>
      <c r="C12" s="8"/>
      <c r="D12" s="8"/>
      <c r="E12" s="8"/>
      <c r="F12" s="8"/>
      <c r="G12" s="8"/>
      <c r="H12" s="9"/>
    </row>
    <row r="13" spans="1:9" ht="30.75" thickBot="1">
      <c r="A13" s="4" t="s">
        <v>12</v>
      </c>
      <c r="B13" s="10" t="s">
        <v>13</v>
      </c>
      <c r="C13" s="10"/>
      <c r="D13" s="11">
        <f t="shared" ref="D13:D16" si="0">SUM(E13:H13)</f>
        <v>4344789.4560000002</v>
      </c>
      <c r="E13" s="11">
        <f>[1]!план_прихода[[#Totals],[сумма]]*3</f>
        <v>1086197.3640000001</v>
      </c>
      <c r="F13" s="11">
        <f>[1]!план_прихода[[#Totals],[сумма]]*3</f>
        <v>1086197.3640000001</v>
      </c>
      <c r="G13" s="11">
        <f>[1]!план_прихода[[#Totals],[сумма]]*3</f>
        <v>1086197.3640000001</v>
      </c>
      <c r="H13" s="29">
        <f>[1]!план_прихода[[#Totals],[сумма]]*3</f>
        <v>1086197.3640000001</v>
      </c>
      <c r="I13" s="30"/>
    </row>
    <row r="14" spans="1:9" ht="15.75" thickBot="1">
      <c r="A14" s="4" t="s">
        <v>14</v>
      </c>
      <c r="B14" s="8" t="s">
        <v>121</v>
      </c>
      <c r="C14" s="8"/>
      <c r="D14" s="11">
        <f t="shared" si="0"/>
        <v>66000</v>
      </c>
      <c r="E14" s="11">
        <f>1500*3+3000*3+1000*3</f>
        <v>16500</v>
      </c>
      <c r="F14" s="11">
        <f t="shared" ref="F14:H14" si="1">1500*3+3000*3+1000*3</f>
        <v>16500</v>
      </c>
      <c r="G14" s="11">
        <f t="shared" si="1"/>
        <v>16500</v>
      </c>
      <c r="H14" s="11">
        <f t="shared" si="1"/>
        <v>16500</v>
      </c>
      <c r="I14" s="30"/>
    </row>
    <row r="15" spans="1:9" ht="15.75" thickBot="1">
      <c r="A15" s="4" t="s">
        <v>15</v>
      </c>
      <c r="B15" s="10" t="s">
        <v>16</v>
      </c>
      <c r="C15" s="10"/>
      <c r="D15" s="11">
        <f t="shared" si="0"/>
        <v>0</v>
      </c>
      <c r="E15" s="11"/>
      <c r="F15" s="11"/>
      <c r="G15" s="11"/>
      <c r="H15" s="29"/>
      <c r="I15" s="30"/>
    </row>
    <row r="16" spans="1:9" ht="15.75" thickBot="1">
      <c r="A16" s="4" t="s">
        <v>19</v>
      </c>
      <c r="B16" s="10" t="s">
        <v>145</v>
      </c>
      <c r="C16" s="10"/>
      <c r="D16" s="11">
        <f t="shared" si="0"/>
        <v>366666.66666666669</v>
      </c>
      <c r="E16" s="11"/>
      <c r="F16" s="11"/>
      <c r="G16" s="11">
        <f>'Рассчет тарифа на содержание'!C22</f>
        <v>366666.66666666669</v>
      </c>
      <c r="H16" s="29"/>
      <c r="I16" s="30"/>
    </row>
    <row r="17" spans="1:9" ht="15.75" thickBot="1">
      <c r="A17" s="4" t="s">
        <v>36</v>
      </c>
      <c r="B17" s="12" t="s">
        <v>17</v>
      </c>
      <c r="C17" s="12"/>
      <c r="D17" s="18">
        <f>SUM(D13:D16)-D14</f>
        <v>4711456.1226666672</v>
      </c>
      <c r="E17" s="18">
        <f t="shared" ref="E17:H17" si="2">SUM(E13:E16)-E14</f>
        <v>1086197.3640000001</v>
      </c>
      <c r="F17" s="18">
        <f t="shared" si="2"/>
        <v>1086197.3640000001</v>
      </c>
      <c r="G17" s="18">
        <f t="shared" si="2"/>
        <v>1452864.0306666668</v>
      </c>
      <c r="H17" s="18">
        <f t="shared" si="2"/>
        <v>1086197.3640000001</v>
      </c>
      <c r="I17" s="30"/>
    </row>
    <row r="18" spans="1:9" ht="15.75" thickBot="1">
      <c r="A18" s="13"/>
      <c r="B18" s="10" t="s">
        <v>11</v>
      </c>
      <c r="C18" s="10"/>
      <c r="D18" s="8"/>
      <c r="E18" s="8"/>
      <c r="F18" s="8"/>
      <c r="G18" s="8"/>
      <c r="H18" s="9"/>
    </row>
    <row r="19" spans="1:9" ht="15.75" thickBot="1">
      <c r="A19" s="13"/>
      <c r="B19" s="7" t="s">
        <v>18</v>
      </c>
      <c r="C19" s="7"/>
      <c r="D19" s="8"/>
      <c r="E19" s="8"/>
      <c r="F19" s="8"/>
      <c r="G19" s="8"/>
      <c r="H19" s="9"/>
    </row>
    <row r="20" spans="1:9" ht="15.75" thickBot="1">
      <c r="A20" s="14" t="s">
        <v>19</v>
      </c>
      <c r="B20" s="15" t="s">
        <v>109</v>
      </c>
      <c r="C20" s="15"/>
      <c r="D20" s="11">
        <f>SUM(D21:D26)</f>
        <v>1003984.48</v>
      </c>
      <c r="E20" s="11">
        <f>SUM(E21:E26)</f>
        <v>254221.12</v>
      </c>
      <c r="F20" s="11">
        <f t="shared" ref="F20:H20" si="3">SUM(F21:F26)</f>
        <v>249921.12</v>
      </c>
      <c r="G20" s="11">
        <f t="shared" si="3"/>
        <v>249921.12</v>
      </c>
      <c r="H20" s="11">
        <f t="shared" si="3"/>
        <v>249921.12</v>
      </c>
      <c r="I20" s="30"/>
    </row>
    <row r="21" spans="1:9" ht="15.75" thickBot="1">
      <c r="A21" s="4" t="s">
        <v>20</v>
      </c>
      <c r="B21" s="8" t="s">
        <v>21</v>
      </c>
      <c r="C21" s="8"/>
      <c r="D21" s="11">
        <f>SUM(E21:H21)</f>
        <v>648000</v>
      </c>
      <c r="E21" s="11">
        <f>[1]АУР!$G$18*3</f>
        <v>162000</v>
      </c>
      <c r="F21" s="11">
        <f>[1]АУР!$G$18*3</f>
        <v>162000</v>
      </c>
      <c r="G21" s="11">
        <f>[1]АУР!$G$18*3</f>
        <v>162000</v>
      </c>
      <c r="H21" s="29">
        <f>[1]АУР!$G$18*3</f>
        <v>162000</v>
      </c>
      <c r="I21" s="30"/>
    </row>
    <row r="22" spans="1:9" ht="15.75" thickBot="1">
      <c r="A22" s="4" t="s">
        <v>22</v>
      </c>
      <c r="B22" s="10" t="s">
        <v>23</v>
      </c>
      <c r="C22" s="10"/>
      <c r="D22" s="11">
        <f t="shared" ref="D22:D26" si="4">SUM(E22:H22)</f>
        <v>51604.08</v>
      </c>
      <c r="E22" s="11">
        <f>[1]АУР!$G$19*3</f>
        <v>12901.02</v>
      </c>
      <c r="F22" s="11">
        <f>[1]АУР!$G$19*3</f>
        <v>12901.02</v>
      </c>
      <c r="G22" s="11">
        <f>[1]АУР!$G$19*3</f>
        <v>12901.02</v>
      </c>
      <c r="H22" s="29">
        <f>[1]АУР!$G$19*3</f>
        <v>12901.02</v>
      </c>
      <c r="I22" s="30"/>
    </row>
    <row r="23" spans="1:9" ht="15.75" thickBot="1">
      <c r="A23" s="4" t="s">
        <v>24</v>
      </c>
      <c r="B23" s="8" t="s">
        <v>122</v>
      </c>
      <c r="C23" s="8"/>
      <c r="D23" s="11">
        <f t="shared" si="4"/>
        <v>211280.40000000002</v>
      </c>
      <c r="E23" s="11">
        <f>[1]АУР!$G$20*3</f>
        <v>52820.100000000006</v>
      </c>
      <c r="F23" s="11">
        <f>[1]АУР!$G$20*3</f>
        <v>52820.100000000006</v>
      </c>
      <c r="G23" s="11">
        <f>[1]АУР!$G$20*3</f>
        <v>52820.100000000006</v>
      </c>
      <c r="H23" s="31">
        <f>[1]АУР!$G$20*3</f>
        <v>52820.100000000006</v>
      </c>
    </row>
    <row r="24" spans="1:9" ht="15.75" thickBot="1">
      <c r="A24" s="4" t="s">
        <v>123</v>
      </c>
      <c r="B24" s="8" t="s">
        <v>25</v>
      </c>
      <c r="C24" s="8"/>
      <c r="D24" s="11">
        <f t="shared" si="4"/>
        <v>69600</v>
      </c>
      <c r="E24" s="11">
        <f>[1]АУР!$G$21*3</f>
        <v>17400</v>
      </c>
      <c r="F24" s="11">
        <f>[1]АУР!$G$21*3</f>
        <v>17400</v>
      </c>
      <c r="G24" s="11">
        <f>[1]АУР!$G$21*3</f>
        <v>17400</v>
      </c>
      <c r="H24" s="32">
        <f>[1]АУР!$G$21*3</f>
        <v>17400</v>
      </c>
    </row>
    <row r="25" spans="1:9" ht="15.75" thickBot="1">
      <c r="A25" s="4" t="s">
        <v>26</v>
      </c>
      <c r="B25" s="8" t="s">
        <v>30</v>
      </c>
      <c r="C25" s="8"/>
      <c r="D25" s="11">
        <f t="shared" si="4"/>
        <v>19200</v>
      </c>
      <c r="E25" s="11">
        <f>[1]АУР!$G$23*3</f>
        <v>4800</v>
      </c>
      <c r="F25" s="11">
        <f>[1]АУР!$G$23*3</f>
        <v>4800</v>
      </c>
      <c r="G25" s="11">
        <f>[1]АУР!$G$23*3</f>
        <v>4800</v>
      </c>
      <c r="H25" s="32">
        <f>[1]АУР!$G$23*3</f>
        <v>4800</v>
      </c>
    </row>
    <row r="26" spans="1:9" ht="15.75" thickBot="1">
      <c r="A26" s="4" t="s">
        <v>28</v>
      </c>
      <c r="B26" s="8" t="s">
        <v>101</v>
      </c>
      <c r="C26" s="8"/>
      <c r="D26" s="11">
        <f t="shared" si="4"/>
        <v>4300</v>
      </c>
      <c r="E26" s="11">
        <f>[1]АУР!$G$26</f>
        <v>4300</v>
      </c>
      <c r="F26" s="11"/>
      <c r="G26" s="11"/>
      <c r="H26" s="32"/>
    </row>
    <row r="27" spans="1:9" ht="15.75" thickBot="1">
      <c r="A27" s="4"/>
      <c r="B27" s="8"/>
      <c r="C27" s="8"/>
      <c r="D27" s="11"/>
      <c r="E27" s="11"/>
      <c r="F27" s="11"/>
      <c r="G27" s="11"/>
      <c r="H27" s="32"/>
    </row>
    <row r="28" spans="1:9" ht="15.75" thickBot="1">
      <c r="A28" s="14" t="s">
        <v>36</v>
      </c>
      <c r="B28" s="15" t="s">
        <v>110</v>
      </c>
      <c r="C28" s="15"/>
      <c r="D28" s="11">
        <f>SUM(D29:D51)</f>
        <v>1876255.12</v>
      </c>
      <c r="E28" s="11">
        <f>SUM(E29:E51)</f>
        <v>493813.78</v>
      </c>
      <c r="F28" s="11">
        <f>SUM(F29:F51)</f>
        <v>471813.78</v>
      </c>
      <c r="G28" s="11">
        <f>SUM(G29:G51)</f>
        <v>536813.78</v>
      </c>
      <c r="H28" s="11">
        <f>SUM(H29:H51)</f>
        <v>393813.78</v>
      </c>
    </row>
    <row r="29" spans="1:9" ht="15.75" thickBot="1">
      <c r="A29" s="4" t="s">
        <v>37</v>
      </c>
      <c r="B29" s="8" t="s">
        <v>96</v>
      </c>
      <c r="C29" s="8"/>
      <c r="D29" s="11">
        <f t="shared" ref="D29:D47" si="5">SUM(E29:H29)</f>
        <v>678000</v>
      </c>
      <c r="E29" s="11">
        <f>[1]Сод.общ.имущ.!$G$15*3+[1]Диспетчер!$G$17*3</f>
        <v>169500</v>
      </c>
      <c r="F29" s="11">
        <f>[1]Сод.общ.имущ.!$G$15*3+[1]Диспетчер!$G$17*3</f>
        <v>169500</v>
      </c>
      <c r="G29" s="11">
        <f>[1]Сод.общ.имущ.!$G$15*3+[1]Диспетчер!$G$17*3</f>
        <v>169500</v>
      </c>
      <c r="H29" s="32">
        <f>[1]Сод.общ.имущ.!$G$15*3+[1]Диспетчер!$G$17*3</f>
        <v>169500</v>
      </c>
    </row>
    <row r="30" spans="1:9" ht="15.75" thickBot="1">
      <c r="A30" s="4" t="s">
        <v>38</v>
      </c>
      <c r="B30" s="8" t="s">
        <v>23</v>
      </c>
      <c r="C30" s="10"/>
      <c r="D30" s="11">
        <f t="shared" si="5"/>
        <v>53993.16</v>
      </c>
      <c r="E30" s="11">
        <f>[1]Сод.общ.имущ.!$G$16*3+[1]Диспетчер!$G$18*3</f>
        <v>13498.29</v>
      </c>
      <c r="F30" s="11">
        <f>[1]Сод.общ.имущ.!$G$16*3+[1]Диспетчер!$G$18*3</f>
        <v>13498.29</v>
      </c>
      <c r="G30" s="11">
        <f>[1]Сод.общ.имущ.!$G$16*3+[1]Диспетчер!$G$18*3</f>
        <v>13498.29</v>
      </c>
      <c r="H30" s="32">
        <f>[1]Сод.общ.имущ.!$G$16*3+[1]Диспетчер!$G$18*3</f>
        <v>13498.29</v>
      </c>
    </row>
    <row r="31" spans="1:9" ht="15.75" thickBot="1">
      <c r="A31" s="4" t="s">
        <v>39</v>
      </c>
      <c r="B31" s="8" t="s">
        <v>125</v>
      </c>
      <c r="C31" s="8"/>
      <c r="D31" s="11">
        <f t="shared" si="5"/>
        <v>221061.96000000002</v>
      </c>
      <c r="E31" s="11">
        <f>[1]Сод.общ.имущ.!$G$17*3+[1]Диспетчер!$G$19*3</f>
        <v>55265.490000000005</v>
      </c>
      <c r="F31" s="11">
        <f>[1]Сод.общ.имущ.!$G$17*3+[1]Диспетчер!$G$19*3</f>
        <v>55265.490000000005</v>
      </c>
      <c r="G31" s="11">
        <f>[1]Сод.общ.имущ.!$G$17*3+[1]Диспетчер!$G$19*3</f>
        <v>55265.490000000005</v>
      </c>
      <c r="H31" s="32">
        <f>[1]Сод.общ.имущ.!$G$17*3+[1]Диспетчер!$G$19*3</f>
        <v>55265.490000000005</v>
      </c>
    </row>
    <row r="32" spans="1:9" ht="15.75" thickBot="1">
      <c r="A32" s="4" t="s">
        <v>40</v>
      </c>
      <c r="B32" s="8" t="s">
        <v>126</v>
      </c>
      <c r="C32" s="8"/>
      <c r="D32" s="11">
        <f t="shared" si="5"/>
        <v>300000</v>
      </c>
      <c r="E32" s="11">
        <f>[1]Сод.общ.имущ.!$G$21/3</f>
        <v>100000</v>
      </c>
      <c r="F32" s="11">
        <f>[1]Сод.общ.имущ.!$G$21/3</f>
        <v>100000</v>
      </c>
      <c r="G32" s="11">
        <f>[1]Сод.общ.имущ.!$G$21/3</f>
        <v>100000</v>
      </c>
      <c r="H32" s="32"/>
    </row>
    <row r="33" spans="1:8" ht="15.75" thickBot="1">
      <c r="A33" s="4" t="s">
        <v>41</v>
      </c>
      <c r="B33" s="8" t="s">
        <v>27</v>
      </c>
      <c r="C33" s="8"/>
      <c r="D33" s="11">
        <f t="shared" ref="D33:D40" si="6">SUM(E33:H33)</f>
        <v>24000</v>
      </c>
      <c r="E33" s="11">
        <f>[1]АУР!$G$22*3</f>
        <v>6000</v>
      </c>
      <c r="F33" s="11">
        <f>[1]АУР!$G$22*3</f>
        <v>6000</v>
      </c>
      <c r="G33" s="11">
        <f>[1]АУР!$G$22*3</f>
        <v>6000</v>
      </c>
      <c r="H33" s="32">
        <f>[1]АУР!$G$22*3</f>
        <v>6000</v>
      </c>
    </row>
    <row r="34" spans="1:8" ht="15.75" thickBot="1">
      <c r="A34" s="4" t="s">
        <v>42</v>
      </c>
      <c r="B34" s="8" t="s">
        <v>124</v>
      </c>
      <c r="C34" s="8"/>
      <c r="D34" s="11">
        <f t="shared" si="6"/>
        <v>18000</v>
      </c>
      <c r="E34" s="11">
        <f>[1]АУР!$G$30*3</f>
        <v>4500</v>
      </c>
      <c r="F34" s="11">
        <f>[1]АУР!$G$30*3</f>
        <v>4500</v>
      </c>
      <c r="G34" s="11">
        <f>[1]АУР!$G$30*3</f>
        <v>4500</v>
      </c>
      <c r="H34" s="32">
        <f>[1]АУР!$G$30*3</f>
        <v>4500</v>
      </c>
    </row>
    <row r="35" spans="1:8" ht="15.75" thickBot="1">
      <c r="A35" s="4" t="s">
        <v>43</v>
      </c>
      <c r="B35" s="8" t="s">
        <v>29</v>
      </c>
      <c r="C35" s="8"/>
      <c r="D35" s="11">
        <f t="shared" si="6"/>
        <v>24000</v>
      </c>
      <c r="E35" s="11">
        <f>[1]АУР!$G$31*3</f>
        <v>6000</v>
      </c>
      <c r="F35" s="11">
        <f>[1]АУР!$G$31*3</f>
        <v>6000</v>
      </c>
      <c r="G35" s="11">
        <f>[1]АУР!$G$31*3</f>
        <v>6000</v>
      </c>
      <c r="H35" s="32">
        <f>[1]АУР!$G$31*3</f>
        <v>6000</v>
      </c>
    </row>
    <row r="36" spans="1:8" ht="15.75" thickBot="1">
      <c r="A36" s="4" t="s">
        <v>44</v>
      </c>
      <c r="B36" s="8" t="s">
        <v>31</v>
      </c>
      <c r="C36" s="8"/>
      <c r="D36" s="11">
        <f t="shared" si="6"/>
        <v>34200</v>
      </c>
      <c r="E36" s="11">
        <f>[1]АУР!$G$24*3</f>
        <v>8550</v>
      </c>
      <c r="F36" s="11">
        <f>[1]АУР!$G$24*3</f>
        <v>8550</v>
      </c>
      <c r="G36" s="11">
        <f>[1]АУР!$G$24*3</f>
        <v>8550</v>
      </c>
      <c r="H36" s="32">
        <f>[1]АУР!$G$24*3</f>
        <v>8550</v>
      </c>
    </row>
    <row r="37" spans="1:8" ht="15.75" thickBot="1">
      <c r="A37" s="4" t="s">
        <v>45</v>
      </c>
      <c r="B37" s="8" t="s">
        <v>94</v>
      </c>
      <c r="C37" s="8"/>
      <c r="D37" s="11">
        <f t="shared" si="6"/>
        <v>84000</v>
      </c>
      <c r="E37" s="11">
        <f>[1]АУР!$G$29*3</f>
        <v>21000</v>
      </c>
      <c r="F37" s="11">
        <f>[1]АУР!$G$29*3</f>
        <v>21000</v>
      </c>
      <c r="G37" s="11">
        <f>[1]АУР!$G$29*3</f>
        <v>21000</v>
      </c>
      <c r="H37" s="32">
        <f>[1]АУР!$G$29*3</f>
        <v>21000</v>
      </c>
    </row>
    <row r="38" spans="1:8" ht="15.75" thickBot="1">
      <c r="A38" s="4" t="s">
        <v>46</v>
      </c>
      <c r="B38" s="8" t="s">
        <v>32</v>
      </c>
      <c r="C38" s="8"/>
      <c r="D38" s="11">
        <f t="shared" si="6"/>
        <v>0</v>
      </c>
      <c r="E38" s="11">
        <f>[1]АУР!$G$27*3</f>
        <v>0</v>
      </c>
      <c r="F38" s="11">
        <f>[1]АУР!$G$27*3</f>
        <v>0</v>
      </c>
      <c r="G38" s="11">
        <f>[1]АУР!$G$27*3</f>
        <v>0</v>
      </c>
      <c r="H38" s="32">
        <f>[1]АУР!$G$27*3</f>
        <v>0</v>
      </c>
    </row>
    <row r="39" spans="1:8" ht="15.75" thickBot="1">
      <c r="A39" s="4" t="s">
        <v>47</v>
      </c>
      <c r="B39" s="8" t="s">
        <v>34</v>
      </c>
      <c r="C39" s="8"/>
      <c r="D39" s="11">
        <f t="shared" si="6"/>
        <v>0</v>
      </c>
      <c r="E39" s="11"/>
      <c r="F39" s="11"/>
      <c r="G39" s="11"/>
      <c r="H39" s="32"/>
    </row>
    <row r="40" spans="1:8" ht="15.75" thickBot="1">
      <c r="A40" s="4" t="s">
        <v>48</v>
      </c>
      <c r="B40" s="8" t="s">
        <v>100</v>
      </c>
      <c r="C40" s="8"/>
      <c r="D40" s="11">
        <f t="shared" si="6"/>
        <v>34560</v>
      </c>
      <c r="E40" s="11">
        <f>[1]АУР!$G$25*3</f>
        <v>8640</v>
      </c>
      <c r="F40" s="11">
        <f>[1]АУР!$G$25*3</f>
        <v>8640</v>
      </c>
      <c r="G40" s="11">
        <f>[1]АУР!$G$25*3</f>
        <v>8640</v>
      </c>
      <c r="H40" s="32">
        <f>[1]АУР!$G$25*3</f>
        <v>8640</v>
      </c>
    </row>
    <row r="41" spans="1:8" ht="15.75" thickBot="1">
      <c r="A41" s="4" t="s">
        <v>133</v>
      </c>
      <c r="B41" s="8" t="s">
        <v>90</v>
      </c>
      <c r="C41" s="8"/>
      <c r="D41" s="11">
        <f t="shared" si="5"/>
        <v>120000</v>
      </c>
      <c r="E41" s="11">
        <f>[1]Сод.общ.имущ.!$G$22*3</f>
        <v>30000</v>
      </c>
      <c r="F41" s="11">
        <f>[1]Сод.общ.имущ.!$G$22*3</f>
        <v>30000</v>
      </c>
      <c r="G41" s="11">
        <f>[1]Сод.общ.имущ.!$G$22*3</f>
        <v>30000</v>
      </c>
      <c r="H41" s="32">
        <f>[1]Сод.общ.имущ.!$G$22*3</f>
        <v>30000</v>
      </c>
    </row>
    <row r="42" spans="1:8" ht="15.75" thickBot="1">
      <c r="A42" s="4" t="s">
        <v>134</v>
      </c>
      <c r="B42" s="8" t="s">
        <v>91</v>
      </c>
      <c r="C42" s="8"/>
      <c r="D42" s="11">
        <f t="shared" si="5"/>
        <v>0</v>
      </c>
      <c r="E42" s="11">
        <f>[1]Сод.общ.имущ.!$G$23*3</f>
        <v>0</v>
      </c>
      <c r="F42" s="11">
        <f>[1]Сод.общ.имущ.!$G$23*3</f>
        <v>0</v>
      </c>
      <c r="G42" s="11">
        <f>[1]Сод.общ.имущ.!$G$23*3</f>
        <v>0</v>
      </c>
      <c r="H42" s="32">
        <f>[1]Сод.общ.имущ.!$G$23*3</f>
        <v>0</v>
      </c>
    </row>
    <row r="43" spans="1:8" ht="15.75" thickBot="1">
      <c r="A43" s="4" t="s">
        <v>135</v>
      </c>
      <c r="B43" s="8" t="s">
        <v>92</v>
      </c>
      <c r="C43" s="8"/>
      <c r="D43" s="11">
        <f t="shared" si="5"/>
        <v>0</v>
      </c>
      <c r="E43" s="11"/>
      <c r="F43" s="11"/>
      <c r="G43" s="11"/>
      <c r="H43" s="32"/>
    </row>
    <row r="44" spans="1:8" ht="15.75" thickBot="1">
      <c r="A44" s="4" t="s">
        <v>136</v>
      </c>
      <c r="B44" s="8" t="s">
        <v>93</v>
      </c>
      <c r="C44" s="8"/>
      <c r="D44" s="11">
        <f t="shared" si="5"/>
        <v>25000</v>
      </c>
      <c r="E44" s="11"/>
      <c r="F44" s="11"/>
      <c r="G44" s="11">
        <v>25000</v>
      </c>
      <c r="H44" s="32"/>
    </row>
    <row r="45" spans="1:8" ht="15.75" thickBot="1">
      <c r="A45" s="4" t="s">
        <v>137</v>
      </c>
      <c r="B45" s="8" t="s">
        <v>95</v>
      </c>
      <c r="C45" s="8"/>
      <c r="D45" s="11">
        <f t="shared" si="5"/>
        <v>0</v>
      </c>
      <c r="E45" s="11"/>
      <c r="F45" s="11"/>
      <c r="G45" s="11"/>
      <c r="H45" s="32"/>
    </row>
    <row r="46" spans="1:8" ht="15.75" thickBot="1">
      <c r="A46" s="4" t="s">
        <v>138</v>
      </c>
      <c r="B46" s="8" t="s">
        <v>114</v>
      </c>
      <c r="C46" s="8"/>
      <c r="D46" s="11">
        <f t="shared" si="5"/>
        <v>124000</v>
      </c>
      <c r="E46" s="11">
        <v>42000</v>
      </c>
      <c r="F46" s="11">
        <v>20000</v>
      </c>
      <c r="G46" s="11">
        <v>20000</v>
      </c>
      <c r="H46" s="32">
        <v>42000</v>
      </c>
    </row>
    <row r="47" spans="1:8" ht="15.75" thickBot="1">
      <c r="A47" s="4" t="s">
        <v>139</v>
      </c>
      <c r="B47" s="8" t="s">
        <v>102</v>
      </c>
      <c r="C47" s="8"/>
      <c r="D47" s="11">
        <f t="shared" si="5"/>
        <v>43440</v>
      </c>
      <c r="E47" s="11">
        <f>[1]Сод.общ.имущ.!$G$20*3</f>
        <v>10860</v>
      </c>
      <c r="F47" s="11">
        <f>[1]Сод.общ.имущ.!$G$20*3</f>
        <v>10860</v>
      </c>
      <c r="G47" s="11">
        <f>[1]Сод.общ.имущ.!$G$20*3</f>
        <v>10860</v>
      </c>
      <c r="H47" s="32">
        <f>[1]Сод.общ.имущ.!$G$20*3</f>
        <v>10860</v>
      </c>
    </row>
    <row r="48" spans="1:8" ht="15.75" thickBot="1">
      <c r="A48" s="4" t="s">
        <v>140</v>
      </c>
      <c r="B48" s="8" t="s">
        <v>103</v>
      </c>
      <c r="C48" s="8"/>
      <c r="D48" s="11">
        <f t="shared" ref="D48:D49" si="7">SUM(E48:H48)</f>
        <v>72000</v>
      </c>
      <c r="E48" s="11">
        <f>[1]Сод.общ.имущ.!$G$19*3</f>
        <v>18000</v>
      </c>
      <c r="F48" s="11">
        <f>[1]Сод.общ.имущ.!$G$19*3</f>
        <v>18000</v>
      </c>
      <c r="G48" s="11">
        <f>[1]Сод.общ.имущ.!$G$19*3</f>
        <v>18000</v>
      </c>
      <c r="H48" s="32">
        <f>[1]Сод.общ.имущ.!$G$19*3</f>
        <v>18000</v>
      </c>
    </row>
    <row r="49" spans="1:8" ht="15.75" thickBot="1">
      <c r="A49" s="4" t="s">
        <v>141</v>
      </c>
      <c r="B49" s="8" t="s">
        <v>157</v>
      </c>
      <c r="C49" s="8"/>
      <c r="D49" s="11">
        <f t="shared" si="7"/>
        <v>20000</v>
      </c>
      <c r="E49" s="11"/>
      <c r="F49" s="11"/>
      <c r="G49" s="11">
        <v>20000</v>
      </c>
      <c r="H49" s="32"/>
    </row>
    <row r="50" spans="1:8" ht="15.75" thickBot="1">
      <c r="A50" s="4" t="s">
        <v>142</v>
      </c>
      <c r="B50" s="8" t="s">
        <v>128</v>
      </c>
      <c r="C50" s="8"/>
      <c r="D50" s="11"/>
      <c r="E50" s="11"/>
      <c r="F50" s="11"/>
      <c r="G50" s="11">
        <v>20000</v>
      </c>
      <c r="H50" s="32"/>
    </row>
    <row r="51" spans="1:8" ht="15.75" thickBot="1">
      <c r="A51" s="4" t="s">
        <v>143</v>
      </c>
      <c r="B51" s="8" t="s">
        <v>35</v>
      </c>
      <c r="C51" s="8"/>
      <c r="D51" s="11">
        <f>SUM(E51:H51)</f>
        <v>0</v>
      </c>
      <c r="E51" s="11">
        <v>0</v>
      </c>
      <c r="F51" s="11">
        <v>0</v>
      </c>
      <c r="G51" s="11">
        <v>0</v>
      </c>
      <c r="H51" s="32">
        <v>0</v>
      </c>
    </row>
    <row r="52" spans="1:8" ht="15.75" thickBot="1">
      <c r="A52" s="4"/>
      <c r="B52" s="8"/>
      <c r="C52" s="8"/>
      <c r="D52" s="8"/>
      <c r="E52" s="8"/>
      <c r="F52" s="8"/>
      <c r="G52" s="8"/>
      <c r="H52" s="33"/>
    </row>
    <row r="53" spans="1:8" ht="15.75" thickBot="1">
      <c r="A53" s="14" t="s">
        <v>49</v>
      </c>
      <c r="B53" s="15" t="s">
        <v>111</v>
      </c>
      <c r="C53" s="8"/>
      <c r="D53" s="11">
        <f>SUM(D54:D57)</f>
        <v>342400</v>
      </c>
      <c r="E53" s="11">
        <f t="shared" ref="E53:H53" si="8">SUM(E54:E57)</f>
        <v>122400</v>
      </c>
      <c r="F53" s="11">
        <f>SUM(F54:F57)</f>
        <v>60000</v>
      </c>
      <c r="G53" s="11">
        <f>SUM(G54:G57)</f>
        <v>100000</v>
      </c>
      <c r="H53" s="11">
        <f t="shared" si="8"/>
        <v>60000</v>
      </c>
    </row>
    <row r="54" spans="1:8" ht="30.75" thickBot="1">
      <c r="A54" s="4" t="s">
        <v>50</v>
      </c>
      <c r="B54" s="10" t="s">
        <v>158</v>
      </c>
      <c r="C54" s="8"/>
      <c r="D54" s="11">
        <f t="shared" ref="D54:D57" si="9">SUM(E54:H54)</f>
        <v>122400</v>
      </c>
      <c r="E54" s="11">
        <f>'[1]смета доходов'!$H$17</f>
        <v>122400</v>
      </c>
      <c r="F54" s="11"/>
      <c r="G54" s="11"/>
      <c r="H54" s="32"/>
    </row>
    <row r="55" spans="1:8" ht="15.75" thickBot="1">
      <c r="A55" s="4" t="s">
        <v>115</v>
      </c>
      <c r="B55" s="8" t="s">
        <v>116</v>
      </c>
      <c r="C55" s="8"/>
      <c r="D55" s="11">
        <f t="shared" si="9"/>
        <v>0</v>
      </c>
      <c r="E55" s="8">
        <v>0</v>
      </c>
      <c r="F55" s="8"/>
      <c r="G55" s="8"/>
      <c r="H55" s="32"/>
    </row>
    <row r="56" spans="1:8" ht="15.75" thickBot="1">
      <c r="A56" s="4" t="s">
        <v>152</v>
      </c>
      <c r="B56" s="8" t="s">
        <v>127</v>
      </c>
      <c r="C56" s="8"/>
      <c r="D56" s="11">
        <f t="shared" si="9"/>
        <v>40000</v>
      </c>
      <c r="E56" s="11"/>
      <c r="F56" s="11"/>
      <c r="G56" s="11">
        <v>40000</v>
      </c>
      <c r="H56" s="32"/>
    </row>
    <row r="57" spans="1:8" ht="15.75" thickBot="1">
      <c r="A57" s="4" t="s">
        <v>153</v>
      </c>
      <c r="B57" s="8" t="s">
        <v>151</v>
      </c>
      <c r="C57" s="8"/>
      <c r="D57" s="11">
        <f t="shared" si="9"/>
        <v>180000</v>
      </c>
      <c r="E57" s="11"/>
      <c r="F57" s="11">
        <v>60000</v>
      </c>
      <c r="G57" s="11">
        <v>60000</v>
      </c>
      <c r="H57" s="32">
        <v>60000</v>
      </c>
    </row>
    <row r="58" spans="1:8" ht="15.75" thickBot="1">
      <c r="A58" s="4"/>
      <c r="B58" s="8"/>
      <c r="C58" s="8"/>
      <c r="D58" s="8"/>
      <c r="E58" s="8"/>
      <c r="F58" s="8"/>
      <c r="G58" s="8"/>
      <c r="H58" s="33"/>
    </row>
    <row r="59" spans="1:8" ht="15.75" thickBot="1">
      <c r="A59" s="14" t="s">
        <v>51</v>
      </c>
      <c r="B59" s="15" t="s">
        <v>112</v>
      </c>
      <c r="C59" s="15"/>
      <c r="D59" s="8">
        <f>SUM(D60:D65)</f>
        <v>226680</v>
      </c>
      <c r="E59" s="11">
        <f>SUM(E60:E65)</f>
        <v>52920</v>
      </c>
      <c r="F59" s="8">
        <f t="shared" ref="F59:H59" si="10">SUM(F60:F65)</f>
        <v>67920</v>
      </c>
      <c r="G59" s="8">
        <f t="shared" si="10"/>
        <v>52920</v>
      </c>
      <c r="H59" s="33">
        <f t="shared" si="10"/>
        <v>52920</v>
      </c>
    </row>
    <row r="60" spans="1:8" ht="15.75" thickBot="1">
      <c r="A60" s="4" t="s">
        <v>52</v>
      </c>
      <c r="B60" s="8" t="s">
        <v>130</v>
      </c>
      <c r="C60" s="8"/>
      <c r="D60" s="11">
        <f t="shared" ref="D60:D65" si="11">SUM(E60:H60)</f>
        <v>176400</v>
      </c>
      <c r="E60" s="11">
        <f>[1]Лифт!$C$6*3</f>
        <v>44100</v>
      </c>
      <c r="F60" s="11">
        <f>[1]Лифт!$C$6*3</f>
        <v>44100</v>
      </c>
      <c r="G60" s="11">
        <f>[1]Лифт!$C$6*3</f>
        <v>44100</v>
      </c>
      <c r="H60" s="32">
        <f>[1]Лифт!$C$6*3</f>
        <v>44100</v>
      </c>
    </row>
    <row r="61" spans="1:8" ht="15.75" thickBot="1">
      <c r="A61" s="4" t="s">
        <v>53</v>
      </c>
      <c r="B61" s="8" t="s">
        <v>54</v>
      </c>
      <c r="C61" s="8"/>
      <c r="D61" s="11">
        <f t="shared" si="11"/>
        <v>35280</v>
      </c>
      <c r="E61" s="11">
        <f>[1]Лифт!$C$7*3</f>
        <v>8820</v>
      </c>
      <c r="F61" s="11">
        <f>[1]Лифт!$C$7*3</f>
        <v>8820</v>
      </c>
      <c r="G61" s="11">
        <f>[1]Лифт!$C$7*3</f>
        <v>8820</v>
      </c>
      <c r="H61" s="32">
        <f>[1]Лифт!$C$7*3</f>
        <v>8820</v>
      </c>
    </row>
    <row r="62" spans="1:8" ht="15.75" thickBot="1">
      <c r="A62" s="4" t="s">
        <v>55</v>
      </c>
      <c r="B62" s="8" t="s">
        <v>33</v>
      </c>
      <c r="C62" s="8"/>
      <c r="D62" s="11">
        <f>SUM(E62:H62)</f>
        <v>0</v>
      </c>
      <c r="E62" s="11"/>
      <c r="F62" s="11"/>
      <c r="G62" s="11"/>
      <c r="H62" s="32"/>
    </row>
    <row r="63" spans="1:8" ht="15.75" thickBot="1">
      <c r="A63" s="4" t="s">
        <v>56</v>
      </c>
      <c r="B63" s="8" t="s">
        <v>129</v>
      </c>
      <c r="C63" s="8"/>
      <c r="D63" s="11">
        <f t="shared" si="11"/>
        <v>15000</v>
      </c>
      <c r="E63" s="11"/>
      <c r="F63" s="11">
        <v>15000</v>
      </c>
      <c r="G63" s="11"/>
      <c r="H63" s="32"/>
    </row>
    <row r="64" spans="1:8" ht="15.75" thickBot="1">
      <c r="A64" s="4" t="s">
        <v>58</v>
      </c>
      <c r="B64" s="8" t="s">
        <v>57</v>
      </c>
      <c r="C64" s="8"/>
      <c r="D64" s="11">
        <f t="shared" si="11"/>
        <v>0</v>
      </c>
      <c r="E64" s="11">
        <f>[1]Лифт!$C$9*3</f>
        <v>0</v>
      </c>
      <c r="F64" s="11">
        <f>[1]Лифт!$C$9*3</f>
        <v>0</v>
      </c>
      <c r="G64" s="11">
        <f>[1]Лифт!$C$9*3</f>
        <v>0</v>
      </c>
      <c r="H64" s="32">
        <f>[1]Лифт!$C$9*3</f>
        <v>0</v>
      </c>
    </row>
    <row r="65" spans="1:8" ht="15.75" thickBot="1">
      <c r="A65" s="4" t="s">
        <v>144</v>
      </c>
      <c r="B65" s="8" t="s">
        <v>59</v>
      </c>
      <c r="C65" s="8"/>
      <c r="D65" s="11">
        <f t="shared" si="11"/>
        <v>0</v>
      </c>
      <c r="E65" s="11"/>
      <c r="F65" s="11"/>
      <c r="G65" s="11"/>
      <c r="H65" s="32"/>
    </row>
    <row r="66" spans="1:8" ht="15.75" thickBot="1">
      <c r="A66" s="4"/>
      <c r="B66" s="8"/>
      <c r="C66" s="8"/>
      <c r="D66" s="8"/>
      <c r="E66" s="11"/>
      <c r="F66" s="11"/>
      <c r="G66" s="11"/>
      <c r="H66" s="32"/>
    </row>
    <row r="67" spans="1:8" ht="15.75" thickBot="1">
      <c r="A67" s="14" t="s">
        <v>60</v>
      </c>
      <c r="B67" s="15" t="s">
        <v>113</v>
      </c>
      <c r="C67" s="8"/>
      <c r="D67" s="8">
        <f>D68</f>
        <v>180000</v>
      </c>
      <c r="E67" s="8">
        <f t="shared" ref="E67:H67" si="12">E68</f>
        <v>45000</v>
      </c>
      <c r="F67" s="8">
        <f t="shared" si="12"/>
        <v>45000</v>
      </c>
      <c r="G67" s="8">
        <f t="shared" si="12"/>
        <v>45000</v>
      </c>
      <c r="H67" s="33">
        <f t="shared" si="12"/>
        <v>45000</v>
      </c>
    </row>
    <row r="68" spans="1:8" ht="15.75" thickBot="1">
      <c r="A68" s="4" t="s">
        <v>61</v>
      </c>
      <c r="B68" s="8" t="s">
        <v>131</v>
      </c>
      <c r="C68" s="8"/>
      <c r="D68" s="11">
        <f t="shared" ref="D68" si="13">SUM(E68:H68)</f>
        <v>180000</v>
      </c>
      <c r="E68" s="11">
        <f>[1]!month_tbo*3</f>
        <v>45000</v>
      </c>
      <c r="F68" s="11">
        <f>[1]!month_tbo*3</f>
        <v>45000</v>
      </c>
      <c r="G68" s="11">
        <f>[1]!month_tbo*3</f>
        <v>45000</v>
      </c>
      <c r="H68" s="32">
        <f>[1]!month_tbo*3</f>
        <v>45000</v>
      </c>
    </row>
    <row r="69" spans="1:8" ht="15.75" thickBot="1">
      <c r="A69" s="4"/>
      <c r="B69" s="8"/>
      <c r="C69" s="8"/>
      <c r="D69" s="8"/>
      <c r="E69" s="8"/>
      <c r="F69" s="8"/>
      <c r="G69" s="8"/>
      <c r="H69" s="33"/>
    </row>
    <row r="70" spans="1:8" ht="15.75" thickBot="1">
      <c r="A70" s="14" t="s">
        <v>62</v>
      </c>
      <c r="B70" s="15" t="s">
        <v>117</v>
      </c>
      <c r="C70" s="8"/>
      <c r="D70" s="11">
        <f t="shared" ref="D70:D72" si="14">SUM(E70:H70)</f>
        <v>186000</v>
      </c>
      <c r="E70" s="11">
        <f>[1]Сод.придом.тер.!$G$22*3</f>
        <v>46500</v>
      </c>
      <c r="F70" s="11">
        <f>[1]Сод.придом.тер.!$G$22*3</f>
        <v>46500</v>
      </c>
      <c r="G70" s="11">
        <f>[1]Сод.придом.тер.!$G$22*3</f>
        <v>46500</v>
      </c>
      <c r="H70" s="32">
        <f>[1]Сод.придом.тер.!$G$22*3</f>
        <v>46500</v>
      </c>
    </row>
    <row r="71" spans="1:8" ht="15.75" thickBot="1">
      <c r="A71" s="4"/>
      <c r="B71" s="8"/>
      <c r="C71" s="8"/>
      <c r="D71" s="8"/>
      <c r="E71" s="8"/>
      <c r="F71" s="8"/>
      <c r="G71" s="8"/>
      <c r="H71" s="33"/>
    </row>
    <row r="72" spans="1:8" ht="15.75" thickBot="1">
      <c r="A72" s="14" t="s">
        <v>63</v>
      </c>
      <c r="B72" s="15" t="s">
        <v>118</v>
      </c>
      <c r="C72" s="8"/>
      <c r="D72" s="11">
        <f t="shared" si="14"/>
        <v>186000</v>
      </c>
      <c r="E72" s="11">
        <f>'[1]Уборка МОП'!$G$19*3</f>
        <v>46500</v>
      </c>
      <c r="F72" s="11">
        <f>'[1]Уборка МОП'!$G$19*3</f>
        <v>46500</v>
      </c>
      <c r="G72" s="11">
        <f>'[1]Уборка МОП'!$G$19*3</f>
        <v>46500</v>
      </c>
      <c r="H72" s="32">
        <f>'[1]Уборка МОП'!$G$19*3</f>
        <v>46500</v>
      </c>
    </row>
    <row r="73" spans="1:8" ht="15.75" thickBot="1">
      <c r="A73" s="4"/>
      <c r="B73" s="8"/>
      <c r="C73" s="8"/>
      <c r="D73" s="8"/>
      <c r="E73" s="8"/>
      <c r="F73" s="8"/>
      <c r="G73" s="8"/>
      <c r="H73" s="33"/>
    </row>
    <row r="74" spans="1:8" ht="15.75" thickBot="1">
      <c r="A74" s="14" t="s">
        <v>64</v>
      </c>
      <c r="B74" s="15" t="s">
        <v>119</v>
      </c>
      <c r="C74" s="8"/>
      <c r="D74" s="11">
        <f>SUM(D75:D75)</f>
        <v>10487.98</v>
      </c>
      <c r="E74" s="11">
        <f>SUM(E75:E75)</f>
        <v>0</v>
      </c>
      <c r="F74" s="11">
        <f>SUM(F75:F75)</f>
        <v>0</v>
      </c>
      <c r="G74" s="11">
        <f>SUM(G75:G75)</f>
        <v>0</v>
      </c>
      <c r="H74" s="32">
        <f>SUM(H75:H75)</f>
        <v>10487.98</v>
      </c>
    </row>
    <row r="75" spans="1:8" ht="15.75" thickBot="1">
      <c r="A75" s="16" t="s">
        <v>120</v>
      </c>
      <c r="B75" s="8" t="s">
        <v>97</v>
      </c>
      <c r="C75" s="8"/>
      <c r="D75" s="11">
        <f t="shared" ref="D75:D79" si="15">SUM(E75:H75)</f>
        <v>10487.98</v>
      </c>
      <c r="E75" s="11"/>
      <c r="F75" s="11"/>
      <c r="G75" s="11"/>
      <c r="H75" s="32">
        <f>[1]ВДГО!$D$13</f>
        <v>10487.98</v>
      </c>
    </row>
    <row r="76" spans="1:8" ht="15.75" thickBot="1">
      <c r="A76" s="4"/>
      <c r="B76" s="8"/>
      <c r="C76" s="8"/>
      <c r="D76" s="8"/>
      <c r="E76" s="8"/>
      <c r="F76" s="8"/>
      <c r="G76" s="8"/>
      <c r="H76" s="33"/>
    </row>
    <row r="77" spans="1:8" ht="15.75" thickBot="1">
      <c r="A77" s="14" t="s">
        <v>65</v>
      </c>
      <c r="B77" s="15" t="s">
        <v>67</v>
      </c>
      <c r="C77" s="8"/>
      <c r="D77" s="11">
        <f>SUM(E77:H77)</f>
        <v>194981.87600000028</v>
      </c>
      <c r="E77" s="11"/>
      <c r="F77" s="11">
        <f>68327.2920000001-5000</f>
        <v>63327.292000000103</v>
      </c>
      <c r="G77" s="11">
        <f>68327.2920000001-5000</f>
        <v>63327.292000000103</v>
      </c>
      <c r="H77" s="11">
        <v>68327.292000000059</v>
      </c>
    </row>
    <row r="78" spans="1:8" ht="15.75" thickBot="1">
      <c r="A78" s="4"/>
      <c r="B78" s="8"/>
      <c r="C78" s="8"/>
      <c r="D78" s="8"/>
      <c r="E78" s="8"/>
      <c r="F78" s="8"/>
      <c r="G78" s="8"/>
      <c r="H78" s="33"/>
    </row>
    <row r="79" spans="1:8" ht="15.75" thickBot="1">
      <c r="A79" s="14" t="s">
        <v>66</v>
      </c>
      <c r="B79" s="15" t="s">
        <v>146</v>
      </c>
      <c r="C79" s="8"/>
      <c r="D79" s="11">
        <f t="shared" si="15"/>
        <v>366666.66666666669</v>
      </c>
      <c r="E79" s="11"/>
      <c r="F79" s="11"/>
      <c r="G79" s="11">
        <f>'Рассчет тарифа на содержание'!C22</f>
        <v>366666.66666666669</v>
      </c>
      <c r="H79" s="32"/>
    </row>
    <row r="80" spans="1:8" ht="15.75" thickBot="1">
      <c r="A80" s="4"/>
      <c r="B80" s="8"/>
      <c r="C80" s="8"/>
      <c r="D80" s="8"/>
      <c r="E80" s="8"/>
      <c r="F80" s="8"/>
      <c r="G80" s="8"/>
      <c r="H80" s="33"/>
    </row>
    <row r="81" spans="1:11" ht="15.75" thickBot="1">
      <c r="A81" s="14" t="s">
        <v>68</v>
      </c>
      <c r="B81" s="15" t="s">
        <v>71</v>
      </c>
      <c r="C81" s="8"/>
      <c r="D81" s="11">
        <f>SUM(D82:D84)</f>
        <v>138000</v>
      </c>
      <c r="E81" s="11">
        <f t="shared" ref="E81:H81" si="16">SUM(E82:E84)</f>
        <v>138000</v>
      </c>
      <c r="F81" s="11">
        <f t="shared" si="16"/>
        <v>0</v>
      </c>
      <c r="G81" s="11">
        <f t="shared" si="16"/>
        <v>0</v>
      </c>
      <c r="H81" s="11">
        <f t="shared" si="16"/>
        <v>0</v>
      </c>
    </row>
    <row r="82" spans="1:11" ht="15.75" thickBot="1">
      <c r="A82" s="4" t="s">
        <v>154</v>
      </c>
      <c r="B82" s="8" t="s">
        <v>72</v>
      </c>
      <c r="C82" s="8"/>
      <c r="D82" s="11">
        <f t="shared" ref="D82:D84" si="17">SUM(E82:H82)</f>
        <v>0</v>
      </c>
      <c r="E82" s="11"/>
      <c r="F82" s="11"/>
      <c r="G82" s="11"/>
      <c r="H82" s="32"/>
    </row>
    <row r="83" spans="1:11" ht="15.75" thickBot="1">
      <c r="A83" s="4" t="s">
        <v>155</v>
      </c>
      <c r="B83" s="8" t="s">
        <v>73</v>
      </c>
      <c r="C83" s="8"/>
      <c r="D83" s="11">
        <f t="shared" si="17"/>
        <v>0</v>
      </c>
      <c r="E83" s="11"/>
      <c r="F83" s="11"/>
      <c r="G83" s="11"/>
      <c r="H83" s="32"/>
    </row>
    <row r="84" spans="1:11" ht="15.75" thickBot="1">
      <c r="A84" s="4" t="s">
        <v>156</v>
      </c>
      <c r="B84" s="8" t="s">
        <v>132</v>
      </c>
      <c r="C84" s="8"/>
      <c r="D84" s="11">
        <f t="shared" si="17"/>
        <v>138000</v>
      </c>
      <c r="E84" s="8">
        <f>'[1]Вывоз мусора'!$D$12</f>
        <v>138000</v>
      </c>
      <c r="F84" s="8"/>
      <c r="G84" s="8"/>
      <c r="H84" s="33"/>
    </row>
    <row r="85" spans="1:11" ht="15.75" thickBot="1">
      <c r="A85" s="4"/>
      <c r="B85" s="8"/>
      <c r="C85" s="8"/>
      <c r="D85" s="8"/>
      <c r="E85" s="8"/>
      <c r="F85" s="8"/>
      <c r="G85" s="8"/>
      <c r="H85" s="33"/>
    </row>
    <row r="86" spans="1:11" ht="30.75" thickBot="1">
      <c r="A86" s="14" t="s">
        <v>70</v>
      </c>
      <c r="B86" s="17" t="s">
        <v>75</v>
      </c>
      <c r="C86" s="17"/>
      <c r="D86" s="18">
        <f>D20+D28+D53+D59+D67+D70+D72+D74+D77+D79+D81</f>
        <v>4711456.1226666672</v>
      </c>
      <c r="E86" s="18">
        <f>E20+E28+E53+E59+E67+E70+E72+E74+E77+E79+E81</f>
        <v>1199354.8999999999</v>
      </c>
      <c r="F86" s="18">
        <f>F20+F28+F53+F59+F67+F70+F72+F74+F77+F79+F81</f>
        <v>1050982.192</v>
      </c>
      <c r="G86" s="18">
        <f>G20+G28+G53+G59+G67+G70+G72+G74+G77+G79+G81</f>
        <v>1507648.8586666668</v>
      </c>
      <c r="H86" s="34">
        <f>H20+H28+H53+H59+H67+H70+H72+H74+H77+H79+H81</f>
        <v>973470.17200000002</v>
      </c>
      <c r="K86" s="19"/>
    </row>
    <row r="87" spans="1:11" ht="15.75" thickBot="1">
      <c r="A87" s="4" t="s">
        <v>74</v>
      </c>
      <c r="B87" s="8" t="s">
        <v>77</v>
      </c>
      <c r="C87" s="8"/>
      <c r="D87" s="8"/>
      <c r="E87" s="8"/>
      <c r="F87" s="8"/>
      <c r="G87" s="8"/>
      <c r="H87" s="33"/>
    </row>
    <row r="88" spans="1:11" ht="15.75" thickBot="1">
      <c r="A88" s="4" t="s">
        <v>76</v>
      </c>
      <c r="B88" s="8" t="s">
        <v>79</v>
      </c>
      <c r="C88" s="8"/>
      <c r="D88" s="8"/>
      <c r="E88" s="8"/>
      <c r="F88" s="8"/>
      <c r="G88" s="8"/>
      <c r="H88" s="33"/>
    </row>
    <row r="89" spans="1:11" ht="15.75" thickBot="1">
      <c r="A89" s="14" t="s">
        <v>78</v>
      </c>
      <c r="B89" s="17" t="s">
        <v>81</v>
      </c>
      <c r="C89" s="17"/>
      <c r="D89" s="18">
        <f>D86+D87+D88</f>
        <v>4711456.1226666672</v>
      </c>
      <c r="E89" s="18">
        <f t="shared" ref="E89:H89" si="18">E86+E87+E88</f>
        <v>1199354.8999999999</v>
      </c>
      <c r="F89" s="18">
        <f>F86+F87+F88</f>
        <v>1050982.192</v>
      </c>
      <c r="G89" s="18">
        <f t="shared" si="18"/>
        <v>1507648.8586666668</v>
      </c>
      <c r="H89" s="34">
        <f t="shared" si="18"/>
        <v>973470.17200000002</v>
      </c>
    </row>
    <row r="90" spans="1:11" ht="15.75" thickBot="1">
      <c r="A90" s="4"/>
      <c r="B90" s="8"/>
      <c r="C90" s="8"/>
      <c r="D90" s="8"/>
      <c r="E90" s="8"/>
      <c r="F90" s="8"/>
      <c r="G90" s="8"/>
      <c r="H90" s="33"/>
    </row>
    <row r="91" spans="1:11" ht="15.75" thickBot="1">
      <c r="A91" s="20" t="s">
        <v>80</v>
      </c>
      <c r="B91" s="21" t="s">
        <v>82</v>
      </c>
      <c r="C91" s="21"/>
      <c r="D91" s="22">
        <f>D17-D89</f>
        <v>0</v>
      </c>
      <c r="E91" s="22">
        <f>E17-E89</f>
        <v>-113157.53599999985</v>
      </c>
      <c r="F91" s="22">
        <f>F17-F89</f>
        <v>35215.17200000002</v>
      </c>
      <c r="G91" s="22">
        <f>G17-G89</f>
        <v>-54784.82799999998</v>
      </c>
      <c r="H91" s="32">
        <f>H17-H89</f>
        <v>112727.19200000004</v>
      </c>
      <c r="J91" s="36"/>
    </row>
    <row r="92" spans="1:11" ht="15.75" thickTop="1">
      <c r="A92" s="23"/>
      <c r="B92" s="40"/>
      <c r="C92" s="40"/>
      <c r="D92" s="40"/>
      <c r="E92" s="40"/>
      <c r="F92" s="40"/>
      <c r="G92" s="40"/>
      <c r="H92" s="40"/>
    </row>
    <row r="93" spans="1:11" ht="28.5" customHeight="1">
      <c r="A93" s="23" t="s">
        <v>147</v>
      </c>
      <c r="B93" s="41" t="s">
        <v>148</v>
      </c>
      <c r="C93" s="41"/>
      <c r="D93" s="41"/>
      <c r="E93" s="41"/>
      <c r="F93" s="41"/>
      <c r="G93" s="41"/>
      <c r="H93" s="41"/>
    </row>
    <row r="94" spans="1:11" ht="15">
      <c r="A94" s="23"/>
      <c r="B94" s="1"/>
      <c r="C94" s="1"/>
      <c r="D94" s="23"/>
      <c r="E94" s="1"/>
      <c r="F94" s="1"/>
      <c r="G94" s="1"/>
      <c r="H94" s="1"/>
    </row>
    <row r="95" spans="1:11" ht="15">
      <c r="A95" s="42" t="s">
        <v>83</v>
      </c>
      <c r="B95" s="42"/>
      <c r="C95" s="1"/>
      <c r="D95" s="26" t="s">
        <v>105</v>
      </c>
      <c r="E95" s="1"/>
      <c r="F95" s="1"/>
      <c r="G95" s="1"/>
      <c r="H95" s="1"/>
    </row>
    <row r="96" spans="1:11" ht="15">
      <c r="A96" s="23"/>
      <c r="B96" s="1"/>
      <c r="C96" s="1"/>
      <c r="D96" s="26"/>
      <c r="E96" s="1"/>
      <c r="F96" s="1"/>
      <c r="G96" s="1"/>
      <c r="H96" s="1"/>
    </row>
    <row r="97" spans="1:8" ht="15">
      <c r="A97" s="42" t="s">
        <v>84</v>
      </c>
      <c r="B97" s="42"/>
      <c r="C97" s="42"/>
      <c r="D97" s="26" t="s">
        <v>106</v>
      </c>
      <c r="E97" s="1"/>
      <c r="F97" s="1"/>
      <c r="G97" s="1"/>
      <c r="H97" s="1"/>
    </row>
    <row r="98" spans="1:8" ht="15">
      <c r="A98" s="1"/>
      <c r="B98" s="1"/>
      <c r="C98" s="1"/>
      <c r="D98" s="1"/>
      <c r="E98" s="1"/>
      <c r="F98" s="1"/>
      <c r="G98" s="1"/>
      <c r="H98" s="1"/>
    </row>
  </sheetData>
  <mergeCells count="13">
    <mergeCell ref="B92:H92"/>
    <mergeCell ref="B93:H93"/>
    <mergeCell ref="A95:B95"/>
    <mergeCell ref="A97:C97"/>
    <mergeCell ref="A3:H3"/>
    <mergeCell ref="A4:H4"/>
    <mergeCell ref="A5:H5"/>
    <mergeCell ref="A6:H6"/>
    <mergeCell ref="A8:A9"/>
    <mergeCell ref="B8:B9"/>
    <mergeCell ref="C8:C9"/>
    <mergeCell ref="D8:D9"/>
    <mergeCell ref="E8:H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I28"/>
  <sheetViews>
    <sheetView tabSelected="1" workbookViewId="0">
      <selection activeCell="J19" sqref="J19"/>
    </sheetView>
  </sheetViews>
  <sheetFormatPr defaultRowHeight="12.75"/>
  <cols>
    <col min="2" max="2" width="63.5703125" customWidth="1"/>
    <col min="3" max="3" width="14.85546875" customWidth="1"/>
    <col min="4" max="7" width="15.7109375" customWidth="1"/>
    <col min="9" max="9" width="14.5703125" bestFit="1" customWidth="1"/>
  </cols>
  <sheetData>
    <row r="3" spans="1:9" ht="14.25">
      <c r="A3" s="43" t="s">
        <v>85</v>
      </c>
      <c r="B3" s="43"/>
      <c r="C3" s="43"/>
      <c r="D3" s="43"/>
      <c r="E3" s="43"/>
      <c r="F3" s="43"/>
    </row>
    <row r="4" spans="1:9" ht="15">
      <c r="A4" s="44" t="s">
        <v>104</v>
      </c>
      <c r="B4" s="44"/>
      <c r="C4" s="44"/>
      <c r="D4" s="44"/>
      <c r="E4" s="44"/>
      <c r="F4" s="44"/>
    </row>
    <row r="5" spans="1:9" ht="15">
      <c r="A5" s="44" t="s">
        <v>98</v>
      </c>
      <c r="B5" s="44"/>
      <c r="C5" s="44"/>
      <c r="D5" s="44"/>
      <c r="E5" s="44"/>
      <c r="F5" s="44"/>
    </row>
    <row r="6" spans="1:9" ht="15.75" thickBot="1">
      <c r="A6" s="1"/>
      <c r="B6" s="1"/>
      <c r="C6" s="1"/>
      <c r="D6" s="1"/>
      <c r="E6" s="1"/>
      <c r="F6" s="1"/>
      <c r="G6" s="27"/>
    </row>
    <row r="7" spans="1:9" ht="29.25" customHeight="1" thickTop="1">
      <c r="A7" s="45" t="s">
        <v>1</v>
      </c>
      <c r="B7" s="47" t="s">
        <v>2</v>
      </c>
      <c r="C7" s="49" t="s">
        <v>86</v>
      </c>
      <c r="D7" s="49" t="s">
        <v>87</v>
      </c>
      <c r="E7" s="49" t="s">
        <v>88</v>
      </c>
      <c r="F7" s="49" t="s">
        <v>89</v>
      </c>
      <c r="G7" s="49" t="s">
        <v>150</v>
      </c>
    </row>
    <row r="8" spans="1:9" ht="13.5" customHeight="1" thickBot="1">
      <c r="A8" s="46"/>
      <c r="B8" s="48"/>
      <c r="C8" s="50"/>
      <c r="D8" s="50"/>
      <c r="E8" s="50"/>
      <c r="F8" s="50"/>
      <c r="G8" s="50"/>
    </row>
    <row r="9" spans="1:9" ht="16.5" thickTop="1" thickBot="1">
      <c r="A9" s="13"/>
      <c r="B9" s="7" t="s">
        <v>18</v>
      </c>
      <c r="C9" s="8"/>
      <c r="D9" s="8"/>
      <c r="E9" s="8"/>
      <c r="F9" s="8"/>
      <c r="G9" s="8"/>
    </row>
    <row r="10" spans="1:9" ht="15.75" thickBot="1">
      <c r="A10" s="14" t="s">
        <v>19</v>
      </c>
      <c r="B10" s="15" t="s">
        <v>109</v>
      </c>
      <c r="C10" s="11">
        <f>Смета!D20</f>
        <v>1003984.48</v>
      </c>
      <c r="D10" s="11">
        <f>C10/12</f>
        <v>83665.373333333337</v>
      </c>
      <c r="E10" s="24">
        <v>11472.3</v>
      </c>
      <c r="F10" s="24">
        <f>D10/E10</f>
        <v>7.2928160293344266</v>
      </c>
      <c r="G10" s="24">
        <v>6.29</v>
      </c>
      <c r="H10" s="35"/>
    </row>
    <row r="11" spans="1:9" ht="15.75" thickBot="1">
      <c r="A11" s="14" t="s">
        <v>36</v>
      </c>
      <c r="B11" s="15" t="s">
        <v>110</v>
      </c>
      <c r="C11" s="11">
        <f>Смета!D28</f>
        <v>1876255.12</v>
      </c>
      <c r="D11" s="11">
        <f>C11/12</f>
        <v>156354.59333333335</v>
      </c>
      <c r="E11" s="24">
        <v>11472.3</v>
      </c>
      <c r="F11" s="24">
        <f>D11/E11</f>
        <v>13.628879416798146</v>
      </c>
      <c r="G11" s="24">
        <v>13.62</v>
      </c>
      <c r="H11" s="35"/>
    </row>
    <row r="12" spans="1:9" ht="15.75" thickBot="1">
      <c r="A12" s="14" t="s">
        <v>49</v>
      </c>
      <c r="B12" s="15" t="s">
        <v>111</v>
      </c>
      <c r="C12" s="11">
        <f>Смета!D53</f>
        <v>342400</v>
      </c>
      <c r="D12" s="11">
        <f t="shared" ref="D12:D20" si="0">C12/12</f>
        <v>28533.333333333332</v>
      </c>
      <c r="E12" s="24">
        <v>11472.3</v>
      </c>
      <c r="F12" s="24">
        <f t="shared" ref="F12:F20" si="1">D12/E12</f>
        <v>2.4871502081826082</v>
      </c>
      <c r="G12" s="24">
        <v>4.91</v>
      </c>
      <c r="H12" s="35"/>
      <c r="I12" s="35"/>
    </row>
    <row r="13" spans="1:9" ht="15.75" thickBot="1">
      <c r="A13" s="14" t="s">
        <v>51</v>
      </c>
      <c r="B13" s="15" t="s">
        <v>112</v>
      </c>
      <c r="C13" s="8">
        <f>Смета!D59</f>
        <v>226680</v>
      </c>
      <c r="D13" s="11">
        <f t="shared" si="0"/>
        <v>18890</v>
      </c>
      <c r="E13" s="24">
        <v>11472.3</v>
      </c>
      <c r="F13" s="24">
        <f t="shared" si="1"/>
        <v>1.6465747931975281</v>
      </c>
      <c r="G13" s="24">
        <v>1.65</v>
      </c>
      <c r="H13" s="35"/>
    </row>
    <row r="14" spans="1:9" ht="15.75" thickBot="1">
      <c r="A14" s="14" t="s">
        <v>60</v>
      </c>
      <c r="B14" s="15" t="s">
        <v>113</v>
      </c>
      <c r="C14" s="8">
        <f>Смета!D67</f>
        <v>180000</v>
      </c>
      <c r="D14" s="11">
        <f t="shared" si="0"/>
        <v>15000</v>
      </c>
      <c r="E14" s="24">
        <v>11472.3</v>
      </c>
      <c r="F14" s="24">
        <f t="shared" si="1"/>
        <v>1.307497188881044</v>
      </c>
      <c r="G14" s="24">
        <v>2.31</v>
      </c>
      <c r="H14" s="35"/>
    </row>
    <row r="15" spans="1:9" ht="15.75" thickBot="1">
      <c r="A15" s="14" t="s">
        <v>62</v>
      </c>
      <c r="B15" s="15" t="s">
        <v>117</v>
      </c>
      <c r="C15" s="11">
        <f>Смета!D70</f>
        <v>186000</v>
      </c>
      <c r="D15" s="11">
        <f t="shared" si="0"/>
        <v>15500</v>
      </c>
      <c r="E15" s="24">
        <v>11472.3</v>
      </c>
      <c r="F15" s="24">
        <f t="shared" si="1"/>
        <v>1.3510804285104121</v>
      </c>
      <c r="G15" s="24">
        <v>1.35</v>
      </c>
      <c r="H15" s="35"/>
    </row>
    <row r="16" spans="1:9" ht="15.75" thickBot="1">
      <c r="A16" s="14" t="s">
        <v>63</v>
      </c>
      <c r="B16" s="15" t="s">
        <v>118</v>
      </c>
      <c r="C16" s="11">
        <f>Смета!D72</f>
        <v>186000</v>
      </c>
      <c r="D16" s="11">
        <f t="shared" si="0"/>
        <v>15500</v>
      </c>
      <c r="E16" s="24">
        <v>11472.3</v>
      </c>
      <c r="F16" s="24">
        <f t="shared" si="1"/>
        <v>1.3510804285104121</v>
      </c>
      <c r="G16" s="24">
        <v>1.35</v>
      </c>
      <c r="H16" s="35"/>
    </row>
    <row r="17" spans="1:9" ht="15.75" thickBot="1">
      <c r="A17" s="14" t="s">
        <v>64</v>
      </c>
      <c r="B17" s="15" t="s">
        <v>119</v>
      </c>
      <c r="C17" s="11">
        <f>Смета!D74</f>
        <v>10487.98</v>
      </c>
      <c r="D17" s="11">
        <f t="shared" si="0"/>
        <v>873.99833333333333</v>
      </c>
      <c r="E17" s="24">
        <v>11472.3</v>
      </c>
      <c r="F17" s="24">
        <f t="shared" si="1"/>
        <v>7.618335759467007E-2</v>
      </c>
      <c r="G17" s="24">
        <v>0.08</v>
      </c>
      <c r="H17" s="35"/>
    </row>
    <row r="18" spans="1:9" ht="15.75" thickBot="1">
      <c r="A18" s="14" t="s">
        <v>65</v>
      </c>
      <c r="B18" s="15" t="s">
        <v>67</v>
      </c>
      <c r="C18" s="11">
        <f>Смета!D77</f>
        <v>194981.87600000028</v>
      </c>
      <c r="D18" s="11">
        <f t="shared" si="0"/>
        <v>16248.48966666669</v>
      </c>
      <c r="E18" s="24">
        <v>11472.3</v>
      </c>
      <c r="F18" s="24">
        <f t="shared" si="1"/>
        <v>1.4163236375152926</v>
      </c>
      <c r="G18" s="24"/>
    </row>
    <row r="19" spans="1:9" ht="15.75" thickBot="1">
      <c r="A19" s="14" t="s">
        <v>66</v>
      </c>
      <c r="B19" s="15" t="s">
        <v>69</v>
      </c>
      <c r="C19" s="11">
        <v>0</v>
      </c>
      <c r="D19" s="11">
        <f t="shared" si="0"/>
        <v>0</v>
      </c>
      <c r="E19" s="24">
        <v>11472.3</v>
      </c>
      <c r="F19" s="24">
        <f t="shared" si="1"/>
        <v>0</v>
      </c>
      <c r="G19" s="24"/>
    </row>
    <row r="20" spans="1:9" ht="15.75" thickBot="1">
      <c r="A20" s="14" t="s">
        <v>68</v>
      </c>
      <c r="B20" s="15" t="s">
        <v>71</v>
      </c>
      <c r="C20" s="11">
        <f>Смета!D81</f>
        <v>138000</v>
      </c>
      <c r="D20" s="11">
        <f t="shared" si="0"/>
        <v>11500</v>
      </c>
      <c r="E20" s="24">
        <v>11472.3</v>
      </c>
      <c r="F20" s="24">
        <f t="shared" si="1"/>
        <v>1.002414511475467</v>
      </c>
      <c r="G20" s="24"/>
    </row>
    <row r="21" spans="1:9" ht="30.75" thickBot="1">
      <c r="A21" s="14">
        <v>16</v>
      </c>
      <c r="B21" s="17" t="s">
        <v>75</v>
      </c>
      <c r="C21" s="18">
        <f>SUM(C10:C20)</f>
        <v>4344789.4560000002</v>
      </c>
      <c r="D21" s="18">
        <f t="shared" ref="D21" si="2">SUM(D10:D20)</f>
        <v>362065.78800000006</v>
      </c>
      <c r="E21" s="18"/>
      <c r="F21" s="25">
        <f>SUM(F10:F20)</f>
        <v>31.560000000000006</v>
      </c>
      <c r="G21" s="25">
        <f>SUM(G10:G20)</f>
        <v>31.56</v>
      </c>
      <c r="H21" s="35"/>
      <c r="I21" s="19"/>
    </row>
    <row r="22" spans="1:9" ht="15.75" thickBot="1">
      <c r="A22" s="14"/>
      <c r="B22" s="15" t="s">
        <v>149</v>
      </c>
      <c r="C22" s="11">
        <f>550000/3*2</f>
        <v>366666.66666666669</v>
      </c>
      <c r="D22" s="11"/>
      <c r="E22" s="24">
        <v>8275.6</v>
      </c>
      <c r="F22" s="24">
        <f>C22/E22</f>
        <v>44.306958609244852</v>
      </c>
      <c r="G22" s="25">
        <v>44</v>
      </c>
    </row>
    <row r="23" spans="1:9" ht="15">
      <c r="A23" s="23"/>
      <c r="B23" s="42"/>
      <c r="C23" s="42"/>
      <c r="D23" s="42"/>
      <c r="E23" s="42"/>
      <c r="F23" s="42"/>
    </row>
    <row r="24" spans="1:9" ht="15">
      <c r="A24" s="23"/>
      <c r="B24" s="1"/>
      <c r="C24" s="23"/>
      <c r="D24" s="23"/>
      <c r="E24" s="23"/>
      <c r="F24" s="23"/>
      <c r="G24" s="28"/>
      <c r="I24" s="37"/>
    </row>
    <row r="25" spans="1:9" ht="15">
      <c r="A25" s="42" t="s">
        <v>83</v>
      </c>
      <c r="B25" s="42"/>
      <c r="C25" s="1" t="s">
        <v>105</v>
      </c>
      <c r="D25" s="1"/>
      <c r="E25" s="1"/>
      <c r="F25" s="39"/>
      <c r="G25" s="27"/>
    </row>
    <row r="26" spans="1:9" ht="15">
      <c r="A26" s="23"/>
      <c r="B26" s="1"/>
      <c r="C26" s="1"/>
      <c r="D26" s="1"/>
      <c r="E26" s="1"/>
      <c r="F26" s="1"/>
      <c r="G26" s="27"/>
      <c r="I26" s="38"/>
    </row>
    <row r="27" spans="1:9" ht="15">
      <c r="A27" s="42" t="s">
        <v>84</v>
      </c>
      <c r="B27" s="42"/>
      <c r="C27" s="1" t="s">
        <v>106</v>
      </c>
      <c r="D27" s="1"/>
      <c r="E27" s="1"/>
      <c r="F27" s="1"/>
      <c r="G27" s="27"/>
    </row>
    <row r="28" spans="1:9" ht="15">
      <c r="A28" s="1"/>
      <c r="B28" s="1"/>
      <c r="C28" s="1"/>
      <c r="D28" s="1"/>
      <c r="E28" s="1"/>
      <c r="F28" s="1"/>
      <c r="G28" s="27"/>
    </row>
  </sheetData>
  <mergeCells count="13">
    <mergeCell ref="G7:G8"/>
    <mergeCell ref="B23:F23"/>
    <mergeCell ref="A25:B25"/>
    <mergeCell ref="A27:B27"/>
    <mergeCell ref="A3:F3"/>
    <mergeCell ref="A4:F4"/>
    <mergeCell ref="A5:F5"/>
    <mergeCell ref="A7:A8"/>
    <mergeCell ref="B7:B8"/>
    <mergeCell ref="C7:C8"/>
    <mergeCell ref="D7:D8"/>
    <mergeCell ref="E7:E8"/>
    <mergeCell ref="F7:F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Смета</vt:lpstr>
      <vt:lpstr>Рассчет тарифа на содержание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 Karev</dc:creator>
  <cp:lastModifiedBy>александр прохоренко</cp:lastModifiedBy>
  <dcterms:created xsi:type="dcterms:W3CDTF">2016-02-16T21:31:36Z</dcterms:created>
  <dcterms:modified xsi:type="dcterms:W3CDTF">2018-04-01T12:48:24Z</dcterms:modified>
</cp:coreProperties>
</file>